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ial\Budgets\FY24\"/>
    </mc:Choice>
  </mc:AlternateContent>
  <xr:revisionPtr revIDLastSave="0" documentId="13_ncr:1_{35116324-D129-4144-8B4B-7561924D47B7}" xr6:coauthVersionLast="47" xr6:coauthVersionMax="47" xr10:uidLastSave="{00000000-0000-0000-0000-000000000000}"/>
  <bookViews>
    <workbookView xWindow="-120" yWindow="-120" windowWidth="29040" windowHeight="15720" firstSheet="50" activeTab="55" xr2:uid="{54894219-6A35-437E-8CF5-5E36454E0F34}"/>
  </bookViews>
  <sheets>
    <sheet name="114-Moderator" sheetId="1" r:id="rId1"/>
    <sheet name="122-Selectboard" sheetId="2" r:id="rId2"/>
    <sheet name="131-Finance" sheetId="4" r:id="rId3"/>
    <sheet name="132-Reserve Fund" sheetId="5" r:id="rId4"/>
    <sheet name="135-Auditor" sheetId="6" r:id="rId5"/>
    <sheet name="141-Assessors" sheetId="7" r:id="rId6"/>
    <sheet name="142-Revaluation" sheetId="50" r:id="rId7"/>
    <sheet name="145-Treasurer" sheetId="8" r:id="rId8"/>
    <sheet name="150-Town Admin" sheetId="9" r:id="rId9"/>
    <sheet name="151-Legal" sheetId="10" r:id="rId10"/>
    <sheet name="159-IT" sheetId="11" r:id="rId11"/>
    <sheet name="161-Town Clerk" sheetId="47" r:id="rId12"/>
    <sheet name="162-Registrars" sheetId="48" r:id="rId13"/>
    <sheet name="163-Elections" sheetId="49" r:id="rId14"/>
    <sheet name="170-Open Space" sheetId="12" r:id="rId15"/>
    <sheet name="171-ConComm" sheetId="13" r:id="rId16"/>
    <sheet name="172-Agricultural Commission" sheetId="52" r:id="rId17"/>
    <sheet name="175-Planning Board" sheetId="14" r:id="rId18"/>
    <sheet name="176-ZBA" sheetId="15" r:id="rId19"/>
    <sheet name="190-Personnel" sheetId="16" r:id="rId20"/>
    <sheet name="192-Public Buildings" sheetId="17" r:id="rId21"/>
    <sheet name="193-Property Insurance" sheetId="18" r:id="rId22"/>
    <sheet name="210-Police" sheetId="19" r:id="rId23"/>
    <sheet name="220-Fire" sheetId="20" r:id="rId24"/>
    <sheet name="231-Ambulance" sheetId="21" r:id="rId25"/>
    <sheet name="291-EMD" sheetId="22" r:id="rId26"/>
    <sheet name="292-ACO" sheetId="23" r:id="rId27"/>
    <sheet name="294-Tree Warden" sheetId="24" r:id="rId28"/>
    <sheet name="300-Grammar School" sheetId="25" r:id="rId29"/>
    <sheet name="310-Frontier" sheetId="26" r:id="rId30"/>
    <sheet name="320-Franklin Cty Tech" sheetId="27" r:id="rId31"/>
    <sheet name="330-Other Tech" sheetId="57" r:id="rId32"/>
    <sheet name="422-Highway" sheetId="28" r:id="rId33"/>
    <sheet name="423-Snow &amp; Ice" sheetId="29" r:id="rId34"/>
    <sheet name="433-Transfer Station" sheetId="39" r:id="rId35"/>
    <sheet name="491-Cemetery" sheetId="31" r:id="rId36"/>
    <sheet name="512-BOH" sheetId="32" r:id="rId37"/>
    <sheet name="525-Opioid" sheetId="62" r:id="rId38"/>
    <sheet name="541-COA" sheetId="33" r:id="rId39"/>
    <sheet name="543-Veterans" sheetId="34" r:id="rId40"/>
    <sheet name="610-Library" sheetId="35" r:id="rId41"/>
    <sheet name="630-Parks &amp; Rec" sheetId="38" r:id="rId42"/>
    <sheet name="635 Forest &amp; Trails" sheetId="58" r:id="rId43"/>
    <sheet name="650-Conway Currents" sheetId="3" r:id="rId44"/>
    <sheet name="691-Historical Commission" sheetId="54" r:id="rId45"/>
    <sheet name="710-Debt Service" sheetId="40" r:id="rId46"/>
    <sheet name="751-Debt Service Interest" sheetId="59" r:id="rId47"/>
    <sheet name="752-Short Term Interest" sheetId="60" r:id="rId48"/>
    <sheet name="820-State Assessments" sheetId="41" r:id="rId49"/>
    <sheet name="830-FRCOG Assessments" sheetId="42" r:id="rId50"/>
    <sheet name="900-Employee Benefits" sheetId="43" r:id="rId51"/>
    <sheet name="970-Transfer To" sheetId="44" r:id="rId52"/>
    <sheet name="ARTICLE 2" sheetId="55" r:id="rId53"/>
    <sheet name="ARTICLE 2 WITH 2% " sheetId="65" r:id="rId54"/>
    <sheet name="All Schools" sheetId="63" r:id="rId55"/>
    <sheet name="RECAP" sheetId="64" r:id="rId56"/>
    <sheet name="Chart of Expenses" sheetId="61" r:id="rId57"/>
  </sheets>
  <definedNames>
    <definedName name="_xlnm.Print_Area" localSheetId="5">'141-Assessors'!$J$1:$U$24</definedName>
    <definedName name="_xlnm.Print_Area" localSheetId="14">'170-Open Space'!$A$1:$K$18</definedName>
    <definedName name="_xlnm.Print_Area" localSheetId="20">'192-Public Buildings'!$A$1:$M$20</definedName>
    <definedName name="_xlnm.Print_Area" localSheetId="32">'422-Highway'!$A$1:$J$36</definedName>
    <definedName name="_xlnm.Print_Area" localSheetId="33">'423-Snow &amp; Ice'!$A$1:$I$24</definedName>
    <definedName name="_xlnm.Print_Area" localSheetId="34">'433-Transfer Station'!$A$1:$G$34</definedName>
    <definedName name="_xlnm.Print_Area" localSheetId="35">'491-Cemetery'!$A$1:$K$10</definedName>
    <definedName name="_xlnm.Print_Area" localSheetId="45">'710-Debt Service'!$A$1:$K$24</definedName>
    <definedName name="_xlnm.Print_Area" localSheetId="52">'ARTICLE 2'!$A$1:$P$76</definedName>
    <definedName name="_xlnm.Print_Area" localSheetId="55">RECAP!$A$1:$G$82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6" l="1"/>
  <c r="F28" i="65"/>
  <c r="K28" i="55" l="1"/>
  <c r="J28" i="55"/>
  <c r="I28" i="55"/>
  <c r="K25" i="55" l="1"/>
  <c r="J25" i="55"/>
  <c r="I25" i="55"/>
  <c r="K7" i="17"/>
  <c r="E5" i="57"/>
  <c r="K53" i="55"/>
  <c r="J53" i="55"/>
  <c r="I53" i="55"/>
  <c r="K51" i="55"/>
  <c r="J51" i="55"/>
  <c r="I51" i="55"/>
  <c r="F8" i="65"/>
  <c r="K7" i="55"/>
  <c r="J7" i="55"/>
  <c r="I7" i="55"/>
  <c r="N6" i="11"/>
  <c r="K8" i="55"/>
  <c r="J8" i="55"/>
  <c r="I8" i="55"/>
  <c r="F43" i="65"/>
  <c r="K43" i="55"/>
  <c r="J43" i="55"/>
  <c r="I43" i="55"/>
  <c r="P9" i="32"/>
  <c r="P6" i="32"/>
  <c r="O6" i="32"/>
  <c r="K39" i="55"/>
  <c r="J39" i="55"/>
  <c r="I39" i="55"/>
  <c r="K37" i="55"/>
  <c r="J37" i="55"/>
  <c r="I37" i="55"/>
  <c r="K22" i="55"/>
  <c r="J22" i="55"/>
  <c r="I22" i="55"/>
  <c r="K18" i="55"/>
  <c r="J18" i="55"/>
  <c r="I18" i="55"/>
  <c r="K15" i="55"/>
  <c r="J15" i="55"/>
  <c r="I15" i="55"/>
  <c r="K30" i="55"/>
  <c r="J30" i="55"/>
  <c r="I30" i="55"/>
  <c r="K26" i="21"/>
  <c r="N9" i="21"/>
  <c r="N8" i="21"/>
  <c r="N7" i="21"/>
  <c r="N6" i="21"/>
  <c r="N24" i="21"/>
  <c r="F30" i="65"/>
  <c r="F14" i="63"/>
  <c r="F13" i="63"/>
  <c r="G12" i="63"/>
  <c r="G11" i="63"/>
  <c r="G10" i="63"/>
  <c r="G9" i="63"/>
  <c r="F11" i="63"/>
  <c r="F10" i="63"/>
  <c r="F9" i="63"/>
  <c r="G6" i="63"/>
  <c r="G5" i="63"/>
  <c r="F6" i="63"/>
  <c r="F5" i="63"/>
  <c r="G4" i="63"/>
  <c r="G3" i="63"/>
  <c r="G2" i="63"/>
  <c r="F4" i="63"/>
  <c r="F3" i="63"/>
  <c r="F2" i="63"/>
  <c r="H69" i="65"/>
  <c r="H59" i="65"/>
  <c r="F54" i="65"/>
  <c r="N10" i="21" l="1"/>
  <c r="N25" i="21" s="1"/>
  <c r="F16" i="65"/>
  <c r="F38" i="65"/>
  <c r="F36" i="65"/>
  <c r="G36" i="65" s="1"/>
  <c r="F12" i="65"/>
  <c r="F10" i="65"/>
  <c r="F72" i="65"/>
  <c r="E72" i="65"/>
  <c r="D72" i="65"/>
  <c r="F71" i="65"/>
  <c r="G71" i="65" s="1"/>
  <c r="E71" i="65"/>
  <c r="D71" i="65"/>
  <c r="D73" i="65" s="1"/>
  <c r="F68" i="65"/>
  <c r="G68" i="65" s="1"/>
  <c r="E68" i="65"/>
  <c r="D68" i="65"/>
  <c r="F67" i="65"/>
  <c r="G67" i="65" s="1"/>
  <c r="E67" i="65"/>
  <c r="D67" i="65"/>
  <c r="F66" i="65"/>
  <c r="F69" i="65" s="1"/>
  <c r="E66" i="65"/>
  <c r="E69" i="65" s="1"/>
  <c r="D66" i="65"/>
  <c r="D69" i="65" s="1"/>
  <c r="F63" i="65"/>
  <c r="F64" i="65" s="1"/>
  <c r="H64" i="65" s="1"/>
  <c r="E63" i="65"/>
  <c r="F62" i="65"/>
  <c r="E62" i="65"/>
  <c r="G62" i="65" s="1"/>
  <c r="D62" i="65"/>
  <c r="F61" i="65"/>
  <c r="E61" i="65"/>
  <c r="E64" i="65" s="1"/>
  <c r="D61" i="65"/>
  <c r="D64" i="65" s="1"/>
  <c r="F58" i="65"/>
  <c r="E58" i="65"/>
  <c r="G58" i="65" s="1"/>
  <c r="D58" i="65"/>
  <c r="F57" i="65"/>
  <c r="F59" i="65" s="1"/>
  <c r="E57" i="65"/>
  <c r="G57" i="65" s="1"/>
  <c r="D57" i="65"/>
  <c r="D59" i="65" s="1"/>
  <c r="G54" i="65"/>
  <c r="E54" i="65"/>
  <c r="D54" i="65"/>
  <c r="F53" i="65"/>
  <c r="G53" i="65" s="1"/>
  <c r="E53" i="65"/>
  <c r="D53" i="65"/>
  <c r="G52" i="65"/>
  <c r="F52" i="65"/>
  <c r="D52" i="65"/>
  <c r="F51" i="65"/>
  <c r="G51" i="65" s="1"/>
  <c r="E51" i="65"/>
  <c r="F50" i="65"/>
  <c r="E50" i="65"/>
  <c r="G50" i="65" s="1"/>
  <c r="D50" i="65"/>
  <c r="F49" i="65"/>
  <c r="E49" i="65"/>
  <c r="G49" i="65" s="1"/>
  <c r="D49" i="65"/>
  <c r="F48" i="65"/>
  <c r="E48" i="65"/>
  <c r="G48" i="65" s="1"/>
  <c r="D48" i="65"/>
  <c r="F47" i="65"/>
  <c r="E47" i="65"/>
  <c r="G47" i="65" s="1"/>
  <c r="F46" i="65"/>
  <c r="G46" i="65" s="1"/>
  <c r="E46" i="65"/>
  <c r="D46" i="65"/>
  <c r="G45" i="65"/>
  <c r="F45" i="65"/>
  <c r="E45" i="65"/>
  <c r="D45" i="65"/>
  <c r="F44" i="65"/>
  <c r="G44" i="65" s="1"/>
  <c r="E44" i="65"/>
  <c r="D44" i="65"/>
  <c r="E43" i="65"/>
  <c r="F42" i="65"/>
  <c r="G42" i="65" s="1"/>
  <c r="E42" i="65"/>
  <c r="F41" i="65"/>
  <c r="G41" i="65" s="1"/>
  <c r="E41" i="65"/>
  <c r="D41" i="65"/>
  <c r="F40" i="65"/>
  <c r="G40" i="65" s="1"/>
  <c r="E40" i="65"/>
  <c r="F39" i="65"/>
  <c r="G39" i="65" s="1"/>
  <c r="E39" i="65"/>
  <c r="G38" i="65"/>
  <c r="E38" i="65"/>
  <c r="D38" i="65"/>
  <c r="F37" i="65"/>
  <c r="G37" i="65" s="1"/>
  <c r="E37" i="65"/>
  <c r="D37" i="65"/>
  <c r="E36" i="65"/>
  <c r="D36" i="65"/>
  <c r="F35" i="65"/>
  <c r="G35" i="65" s="1"/>
  <c r="E35" i="65"/>
  <c r="D35" i="65"/>
  <c r="G34" i="65"/>
  <c r="F34" i="65"/>
  <c r="E34" i="65"/>
  <c r="D34" i="65"/>
  <c r="F33" i="65"/>
  <c r="G33" i="65" s="1"/>
  <c r="E33" i="65"/>
  <c r="D33" i="65"/>
  <c r="G32" i="65"/>
  <c r="F32" i="65"/>
  <c r="E32" i="65"/>
  <c r="D32" i="65"/>
  <c r="G31" i="65"/>
  <c r="G30" i="65"/>
  <c r="E30" i="65"/>
  <c r="D30" i="65"/>
  <c r="F29" i="65"/>
  <c r="G29" i="65" s="1"/>
  <c r="E29" i="65"/>
  <c r="D29" i="65"/>
  <c r="G28" i="65"/>
  <c r="E28" i="65"/>
  <c r="D28" i="65"/>
  <c r="F27" i="65"/>
  <c r="G27" i="65" s="1"/>
  <c r="E27" i="65"/>
  <c r="D27" i="65"/>
  <c r="F26" i="65"/>
  <c r="G26" i="65" s="1"/>
  <c r="E26" i="65"/>
  <c r="D26" i="65"/>
  <c r="F24" i="65"/>
  <c r="G24" i="65" s="1"/>
  <c r="E24" i="65"/>
  <c r="D24" i="65"/>
  <c r="F23" i="65"/>
  <c r="G23" i="65" s="1"/>
  <c r="E23" i="65"/>
  <c r="D23" i="65"/>
  <c r="F22" i="65"/>
  <c r="G22" i="65" s="1"/>
  <c r="E22" i="65"/>
  <c r="D22" i="65"/>
  <c r="F21" i="65"/>
  <c r="G21" i="65" s="1"/>
  <c r="E21" i="65"/>
  <c r="D21" i="65"/>
  <c r="F20" i="65"/>
  <c r="G20" i="65" s="1"/>
  <c r="E20" i="65"/>
  <c r="D20" i="65"/>
  <c r="F19" i="65"/>
  <c r="G19" i="65" s="1"/>
  <c r="E19" i="65"/>
  <c r="D19" i="65"/>
  <c r="F18" i="65"/>
  <c r="G18" i="65" s="1"/>
  <c r="E18" i="65"/>
  <c r="D18" i="65"/>
  <c r="F17" i="65"/>
  <c r="G17" i="65" s="1"/>
  <c r="E17" i="65"/>
  <c r="D17" i="65"/>
  <c r="G16" i="65"/>
  <c r="E16" i="65"/>
  <c r="D16" i="65"/>
  <c r="F15" i="65"/>
  <c r="G15" i="65" s="1"/>
  <c r="E15" i="65"/>
  <c r="D15" i="65"/>
  <c r="F13" i="65"/>
  <c r="G13" i="65" s="1"/>
  <c r="E13" i="65"/>
  <c r="D13" i="65"/>
  <c r="E12" i="65"/>
  <c r="D12" i="65"/>
  <c r="F11" i="65"/>
  <c r="G11" i="65" s="1"/>
  <c r="E11" i="65"/>
  <c r="D11" i="65"/>
  <c r="E10" i="65"/>
  <c r="D10" i="65"/>
  <c r="F9" i="65"/>
  <c r="G9" i="65" s="1"/>
  <c r="E9" i="65"/>
  <c r="D9" i="65"/>
  <c r="G6" i="65"/>
  <c r="F6" i="65"/>
  <c r="D6" i="65"/>
  <c r="F5" i="65"/>
  <c r="E5" i="65"/>
  <c r="G5" i="65" s="1"/>
  <c r="D5" i="65"/>
  <c r="G4" i="65"/>
  <c r="F4" i="65"/>
  <c r="E4" i="65"/>
  <c r="D4" i="65"/>
  <c r="F3" i="65"/>
  <c r="E3" i="65"/>
  <c r="G3" i="65" s="1"/>
  <c r="D3" i="65"/>
  <c r="G2" i="65"/>
  <c r="F2" i="65"/>
  <c r="E2" i="65"/>
  <c r="D2" i="65"/>
  <c r="F10" i="55"/>
  <c r="I11" i="18"/>
  <c r="I12" i="18" s="1"/>
  <c r="I8" i="18"/>
  <c r="I7" i="18"/>
  <c r="C62" i="64"/>
  <c r="G52" i="64"/>
  <c r="G53" i="64" s="1"/>
  <c r="C27" i="64"/>
  <c r="I9" i="18"/>
  <c r="G72" i="65" l="1"/>
  <c r="E73" i="65"/>
  <c r="H73" i="65" s="1"/>
  <c r="G12" i="65"/>
  <c r="G10" i="65"/>
  <c r="G59" i="65"/>
  <c r="G73" i="65"/>
  <c r="F73" i="65"/>
  <c r="G63" i="65"/>
  <c r="G66" i="65"/>
  <c r="G69" i="65" s="1"/>
  <c r="G61" i="65"/>
  <c r="E59" i="65"/>
  <c r="K16" i="55"/>
  <c r="J16" i="55"/>
  <c r="I16" i="55"/>
  <c r="J13" i="39"/>
  <c r="J12" i="39"/>
  <c r="J9" i="39"/>
  <c r="J11" i="39" s="1"/>
  <c r="J10" i="39"/>
  <c r="G12" i="39"/>
  <c r="G15" i="39"/>
  <c r="G64" i="65" l="1"/>
  <c r="I22" i="7"/>
  <c r="F7" i="65" s="1"/>
  <c r="F4" i="27"/>
  <c r="F7" i="27" s="1"/>
  <c r="F4" i="25"/>
  <c r="F57" i="55" s="1"/>
  <c r="F5" i="57"/>
  <c r="F72" i="55" s="1"/>
  <c r="C37" i="64"/>
  <c r="F16" i="63"/>
  <c r="F4" i="26"/>
  <c r="F7" i="26" s="1"/>
  <c r="O7" i="7"/>
  <c r="F71" i="55"/>
  <c r="F4" i="57"/>
  <c r="F68" i="55"/>
  <c r="F67" i="55"/>
  <c r="F63" i="55"/>
  <c r="F7" i="63" s="1"/>
  <c r="F62" i="55"/>
  <c r="F61" i="55"/>
  <c r="F58" i="55"/>
  <c r="D8" i="38"/>
  <c r="E8" i="38"/>
  <c r="F8" i="38"/>
  <c r="G8" i="38"/>
  <c r="H8" i="38"/>
  <c r="I8" i="38"/>
  <c r="J8" i="38"/>
  <c r="K8" i="38"/>
  <c r="C8" i="38"/>
  <c r="I8" i="59"/>
  <c r="H23" i="11"/>
  <c r="G18" i="39"/>
  <c r="G13" i="39"/>
  <c r="G14" i="39"/>
  <c r="D15" i="49"/>
  <c r="I14" i="49"/>
  <c r="I15" i="49" s="1"/>
  <c r="H14" i="49"/>
  <c r="H15" i="49" s="1"/>
  <c r="G14" i="49"/>
  <c r="G15" i="49" s="1"/>
  <c r="F14" i="49"/>
  <c r="F15" i="49" s="1"/>
  <c r="E14" i="49"/>
  <c r="E15" i="49" s="1"/>
  <c r="D14" i="49"/>
  <c r="C14" i="49"/>
  <c r="C15" i="49" s="1"/>
  <c r="I18" i="47"/>
  <c r="I19" i="47" s="1"/>
  <c r="H18" i="47"/>
  <c r="F18" i="47"/>
  <c r="E18" i="47"/>
  <c r="D18" i="47"/>
  <c r="C18" i="47"/>
  <c r="H8" i="47"/>
  <c r="H19" i="47" s="1"/>
  <c r="F8" i="47"/>
  <c r="F19" i="47" s="1"/>
  <c r="E8" i="47"/>
  <c r="E19" i="47" s="1"/>
  <c r="D8" i="47"/>
  <c r="D19" i="47" s="1"/>
  <c r="C8" i="47"/>
  <c r="C19" i="47" s="1"/>
  <c r="F8" i="63" l="1"/>
  <c r="F18" i="63" s="1"/>
  <c r="F17" i="63" s="1"/>
  <c r="G7" i="63"/>
  <c r="G8" i="63" s="1"/>
  <c r="F66" i="55"/>
  <c r="F6" i="25"/>
  <c r="F6" i="57"/>
  <c r="C75" i="64"/>
  <c r="C80" i="64" s="1"/>
  <c r="L14" i="43"/>
  <c r="L13" i="43"/>
  <c r="K13" i="43"/>
  <c r="K14" i="43" s="1"/>
  <c r="J13" i="43"/>
  <c r="J14" i="43" s="1"/>
  <c r="I13" i="43"/>
  <c r="H13" i="43"/>
  <c r="F13" i="43"/>
  <c r="E13" i="43"/>
  <c r="D13" i="43"/>
  <c r="C13" i="43"/>
  <c r="I9" i="40"/>
  <c r="G7" i="40"/>
  <c r="G9" i="40" s="1"/>
  <c r="E7" i="40"/>
  <c r="E9" i="40" s="1"/>
  <c r="C7" i="40"/>
  <c r="C9" i="40" s="1"/>
  <c r="G21" i="28"/>
  <c r="G22" i="7" l="1"/>
  <c r="E7" i="65" s="1"/>
  <c r="K11" i="41"/>
  <c r="E43" i="55"/>
  <c r="E42" i="55"/>
  <c r="K22" i="32"/>
  <c r="J22" i="32"/>
  <c r="H22" i="32"/>
  <c r="O21" i="32"/>
  <c r="F42" i="55" s="1"/>
  <c r="N21" i="32"/>
  <c r="M21" i="32"/>
  <c r="L21" i="32"/>
  <c r="K21" i="32"/>
  <c r="J21" i="32"/>
  <c r="I21" i="32"/>
  <c r="I22" i="32" s="1"/>
  <c r="H21" i="32"/>
  <c r="G21" i="32"/>
  <c r="F21" i="32"/>
  <c r="E21" i="32"/>
  <c r="D21" i="32"/>
  <c r="C21" i="32"/>
  <c r="O9" i="32"/>
  <c r="N9" i="32"/>
  <c r="N22" i="32" s="1"/>
  <c r="M9" i="32"/>
  <c r="M22" i="32" s="1"/>
  <c r="L9" i="32"/>
  <c r="L22" i="32" s="1"/>
  <c r="K9" i="32"/>
  <c r="J9" i="32"/>
  <c r="I9" i="32"/>
  <c r="H9" i="32"/>
  <c r="G9" i="32"/>
  <c r="G22" i="32" s="1"/>
  <c r="F9" i="32"/>
  <c r="F22" i="32" s="1"/>
  <c r="E9" i="32"/>
  <c r="E22" i="32" s="1"/>
  <c r="D9" i="32"/>
  <c r="D22" i="32" s="1"/>
  <c r="C9" i="32"/>
  <c r="C22" i="32" s="1"/>
  <c r="G7" i="65" l="1"/>
  <c r="F43" i="55"/>
  <c r="G43" i="65"/>
  <c r="O22" i="32"/>
  <c r="G20" i="39"/>
  <c r="K10" i="34"/>
  <c r="F45" i="55" s="1"/>
  <c r="F54" i="55"/>
  <c r="F52" i="55"/>
  <c r="I9" i="60"/>
  <c r="H9" i="60"/>
  <c r="G9" i="60"/>
  <c r="F9" i="60"/>
  <c r="D9" i="60"/>
  <c r="C9" i="60"/>
  <c r="E6" i="60"/>
  <c r="E9" i="60" s="1"/>
  <c r="F51" i="55"/>
  <c r="H8" i="59"/>
  <c r="G8" i="59"/>
  <c r="F8" i="59"/>
  <c r="E8" i="59"/>
  <c r="D8" i="59"/>
  <c r="C8" i="59"/>
  <c r="F50" i="55"/>
  <c r="E50" i="55"/>
  <c r="D50" i="55"/>
  <c r="F48" i="55"/>
  <c r="M10" i="21"/>
  <c r="J25" i="21"/>
  <c r="I25" i="21"/>
  <c r="H25" i="21"/>
  <c r="D25" i="21"/>
  <c r="C25" i="21"/>
  <c r="M24" i="21"/>
  <c r="M25" i="21" s="1"/>
  <c r="L24" i="21"/>
  <c r="K24" i="21"/>
  <c r="J24" i="21"/>
  <c r="I24" i="21"/>
  <c r="H24" i="21"/>
  <c r="G24" i="21"/>
  <c r="F24" i="21"/>
  <c r="E24" i="21"/>
  <c r="L10" i="21"/>
  <c r="L25" i="21" s="1"/>
  <c r="J10" i="21"/>
  <c r="I10" i="21"/>
  <c r="H10" i="21"/>
  <c r="G10" i="21"/>
  <c r="G25" i="21" s="1"/>
  <c r="F10" i="21"/>
  <c r="F25" i="21" s="1"/>
  <c r="E10" i="21"/>
  <c r="E25" i="21" s="1"/>
  <c r="K6" i="21"/>
  <c r="K10" i="21" s="1"/>
  <c r="K25" i="21" s="1"/>
  <c r="F15" i="39"/>
  <c r="E7" i="39" l="1"/>
  <c r="F7" i="39"/>
  <c r="G7" i="39"/>
  <c r="F40" i="55" s="1"/>
  <c r="F38" i="55"/>
  <c r="C16" i="29"/>
  <c r="I15" i="29"/>
  <c r="H15" i="29"/>
  <c r="F15" i="29"/>
  <c r="E15" i="29"/>
  <c r="D15" i="29"/>
  <c r="C15" i="29"/>
  <c r="F11" i="29"/>
  <c r="H10" i="29"/>
  <c r="F10" i="29"/>
  <c r="F16" i="29" s="1"/>
  <c r="E10" i="29"/>
  <c r="E16" i="29" s="1"/>
  <c r="D10" i="29"/>
  <c r="D16" i="29" s="1"/>
  <c r="C10" i="29"/>
  <c r="F36" i="55"/>
  <c r="F35" i="55"/>
  <c r="I21" i="28"/>
  <c r="H21" i="28"/>
  <c r="F21" i="28"/>
  <c r="E21" i="28"/>
  <c r="D21" i="28"/>
  <c r="C21" i="28"/>
  <c r="H10" i="28"/>
  <c r="F10" i="28"/>
  <c r="F22" i="28" s="1"/>
  <c r="D10" i="28"/>
  <c r="D22" i="28" s="1"/>
  <c r="C10" i="28"/>
  <c r="C22" i="28" s="1"/>
  <c r="E10" i="28"/>
  <c r="E22" i="28" s="1"/>
  <c r="K40" i="55" l="1"/>
  <c r="J40" i="55"/>
  <c r="I40" i="55"/>
  <c r="F37" i="55"/>
  <c r="I16" i="29"/>
  <c r="K36" i="55"/>
  <c r="J36" i="55"/>
  <c r="I36" i="55"/>
  <c r="K38" i="55"/>
  <c r="J38" i="55"/>
  <c r="I38" i="55"/>
  <c r="H16" i="29"/>
  <c r="H22" i="28"/>
  <c r="F32" i="55"/>
  <c r="I12" i="22"/>
  <c r="F27" i="55"/>
  <c r="F26" i="55"/>
  <c r="F24" i="55"/>
  <c r="K12" i="17"/>
  <c r="F25" i="65" s="1"/>
  <c r="G25" i="65" s="1"/>
  <c r="J12" i="17"/>
  <c r="I12" i="17"/>
  <c r="G12" i="17"/>
  <c r="F12" i="17"/>
  <c r="E12" i="17"/>
  <c r="D12" i="17"/>
  <c r="C12" i="17"/>
  <c r="H10" i="17"/>
  <c r="F8" i="17"/>
  <c r="F7" i="17"/>
  <c r="H6" i="17"/>
  <c r="H12" i="17" s="1"/>
  <c r="F18" i="55"/>
  <c r="E18" i="55"/>
  <c r="D18" i="55"/>
  <c r="F17" i="55"/>
  <c r="I9" i="48"/>
  <c r="H9" i="48"/>
  <c r="G9" i="48"/>
  <c r="F9" i="48"/>
  <c r="E9" i="48"/>
  <c r="D9" i="48"/>
  <c r="C9" i="48"/>
  <c r="F16" i="55"/>
  <c r="E15" i="55"/>
  <c r="D15" i="55"/>
  <c r="F25" i="55" l="1"/>
  <c r="I26" i="55"/>
  <c r="J26" i="55"/>
  <c r="K26" i="55"/>
  <c r="B3" i="61"/>
  <c r="F15" i="55"/>
  <c r="F9" i="55"/>
  <c r="I17" i="8"/>
  <c r="H17" i="8"/>
  <c r="F17" i="8"/>
  <c r="E17" i="8"/>
  <c r="C17" i="8"/>
  <c r="D13" i="8"/>
  <c r="D17" i="8" s="1"/>
  <c r="I9" i="8"/>
  <c r="I19" i="8" s="1"/>
  <c r="H9" i="8"/>
  <c r="H19" i="8" s="1"/>
  <c r="F9" i="8"/>
  <c r="F19" i="8" s="1"/>
  <c r="E9" i="8"/>
  <c r="E19" i="8" s="1"/>
  <c r="D9" i="8"/>
  <c r="C9" i="8"/>
  <c r="C19" i="8" s="1"/>
  <c r="F6" i="8"/>
  <c r="D14" i="55"/>
  <c r="F13" i="55"/>
  <c r="F12" i="55"/>
  <c r="N9" i="11"/>
  <c r="L9" i="11"/>
  <c r="K9" i="11"/>
  <c r="J9" i="11"/>
  <c r="D14" i="65" s="1"/>
  <c r="I9" i="11"/>
  <c r="H9" i="11"/>
  <c r="G9" i="11"/>
  <c r="F9" i="11"/>
  <c r="E9" i="11"/>
  <c r="D9" i="11"/>
  <c r="C9" i="11"/>
  <c r="B9" i="11"/>
  <c r="M6" i="11"/>
  <c r="M9" i="11" s="1"/>
  <c r="J8" i="9"/>
  <c r="F14" i="55" l="1"/>
  <c r="F14" i="65"/>
  <c r="G14" i="65" s="1"/>
  <c r="K12" i="55"/>
  <c r="J12" i="55"/>
  <c r="I12" i="55"/>
  <c r="K10" i="55"/>
  <c r="J10" i="55"/>
  <c r="I10" i="55"/>
  <c r="D19" i="8"/>
  <c r="I21" i="9"/>
  <c r="F21" i="9"/>
  <c r="E21" i="9"/>
  <c r="D21" i="9"/>
  <c r="J20" i="9"/>
  <c r="F11" i="55" s="1"/>
  <c r="I20" i="9"/>
  <c r="H20" i="9"/>
  <c r="H21" i="9" s="1"/>
  <c r="G20" i="9"/>
  <c r="F20" i="9"/>
  <c r="E20" i="9"/>
  <c r="D20" i="9"/>
  <c r="J9" i="9"/>
  <c r="I9" i="9"/>
  <c r="F9" i="9"/>
  <c r="E9" i="9"/>
  <c r="D9" i="9"/>
  <c r="G6" i="9"/>
  <c r="G9" i="9" s="1"/>
  <c r="G21" i="9" s="1"/>
  <c r="F7" i="55"/>
  <c r="I11" i="7"/>
  <c r="H22" i="7"/>
  <c r="G11" i="7"/>
  <c r="H11" i="7"/>
  <c r="J14" i="55" l="1"/>
  <c r="K14" i="55"/>
  <c r="I14" i="55"/>
  <c r="G23" i="7"/>
  <c r="E8" i="65"/>
  <c r="E55" i="65" s="1"/>
  <c r="E74" i="65" s="1"/>
  <c r="G8" i="65"/>
  <c r="G55" i="65" s="1"/>
  <c r="F55" i="65"/>
  <c r="C6" i="64" s="1"/>
  <c r="F8" i="55"/>
  <c r="J21" i="9"/>
  <c r="I23" i="7"/>
  <c r="H23" i="7"/>
  <c r="B75" i="65" l="1"/>
  <c r="B76" i="65"/>
  <c r="H55" i="65"/>
  <c r="F74" i="65"/>
  <c r="F49" i="55"/>
  <c r="F47" i="55"/>
  <c r="F44" i="55"/>
  <c r="F73" i="55"/>
  <c r="F69" i="55"/>
  <c r="F64" i="55"/>
  <c r="F74" i="55" s="1"/>
  <c r="F59" i="55"/>
  <c r="F33" i="55"/>
  <c r="F41" i="55"/>
  <c r="F29" i="55"/>
  <c r="F28" i="55"/>
  <c r="F23" i="55"/>
  <c r="F21" i="55"/>
  <c r="E20" i="55"/>
  <c r="D20" i="55"/>
  <c r="E19" i="55"/>
  <c r="D19" i="55"/>
  <c r="F20" i="55"/>
  <c r="F19" i="55"/>
  <c r="F6" i="55"/>
  <c r="F5" i="55"/>
  <c r="F4" i="55"/>
  <c r="F3" i="55"/>
  <c r="F2" i="55"/>
  <c r="D27" i="20"/>
  <c r="C27" i="20"/>
  <c r="I26" i="20"/>
  <c r="H26" i="20"/>
  <c r="F26" i="20"/>
  <c r="E26" i="20"/>
  <c r="D26" i="20"/>
  <c r="C26" i="20"/>
  <c r="I13" i="20"/>
  <c r="I27" i="20" s="1"/>
  <c r="H13" i="20"/>
  <c r="F13" i="20"/>
  <c r="F27" i="20" s="1"/>
  <c r="E13" i="20"/>
  <c r="E27" i="20" s="1"/>
  <c r="D13" i="20"/>
  <c r="C13" i="20"/>
  <c r="I11" i="20"/>
  <c r="C20" i="19"/>
  <c r="I19" i="19"/>
  <c r="H19" i="19"/>
  <c r="F19" i="19"/>
  <c r="E19" i="19"/>
  <c r="D19" i="19"/>
  <c r="C19" i="19"/>
  <c r="I8" i="19"/>
  <c r="I20" i="19" s="1"/>
  <c r="H8" i="19"/>
  <c r="H20" i="19" s="1"/>
  <c r="F8" i="19"/>
  <c r="F20" i="19" s="1"/>
  <c r="E8" i="19"/>
  <c r="E20" i="19" s="1"/>
  <c r="D8" i="19"/>
  <c r="D20" i="19" s="1"/>
  <c r="C8" i="19"/>
  <c r="G76" i="65" l="1"/>
  <c r="G75" i="65"/>
  <c r="C8" i="64"/>
  <c r="B6" i="61"/>
  <c r="C9" i="64"/>
  <c r="B7" i="61"/>
  <c r="B5" i="61"/>
  <c r="C7" i="64"/>
  <c r="C10" i="64"/>
  <c r="B8" i="61"/>
  <c r="F30" i="55"/>
  <c r="H27" i="20"/>
  <c r="F46" i="55"/>
  <c r="B17" i="42"/>
  <c r="B18" i="42" s="1"/>
  <c r="H7" i="42" s="1"/>
  <c r="F53" i="55" s="1"/>
  <c r="K8" i="31"/>
  <c r="G8" i="31"/>
  <c r="I11" i="24"/>
  <c r="F34" i="55" s="1"/>
  <c r="I6" i="23"/>
  <c r="D8" i="15"/>
  <c r="E8" i="15"/>
  <c r="F8" i="15"/>
  <c r="G8" i="15"/>
  <c r="H8" i="15"/>
  <c r="I8" i="15"/>
  <c r="C8" i="15"/>
  <c r="F15" i="14"/>
  <c r="I14" i="14"/>
  <c r="H14" i="14"/>
  <c r="H15" i="14" s="1"/>
  <c r="G14" i="14"/>
  <c r="G15" i="14" s="1"/>
  <c r="F14" i="14"/>
  <c r="E14" i="14"/>
  <c r="E15" i="14" s="1"/>
  <c r="D14" i="14"/>
  <c r="D15" i="14" s="1"/>
  <c r="C14" i="14"/>
  <c r="C15" i="14" s="1"/>
  <c r="I15" i="14"/>
  <c r="F22" i="55" s="1"/>
  <c r="B1" i="61" l="1"/>
  <c r="K55" i="55"/>
  <c r="K59" i="55" s="1"/>
  <c r="K74" i="55" s="1"/>
  <c r="I55" i="55"/>
  <c r="I59" i="55" s="1"/>
  <c r="B2" i="61"/>
  <c r="G11" i="13"/>
  <c r="G12" i="13" s="1"/>
  <c r="F11" i="13"/>
  <c r="F12" i="13" s="1"/>
  <c r="E11" i="13"/>
  <c r="E12" i="13" s="1"/>
  <c r="D11" i="13"/>
  <c r="D12" i="13" s="1"/>
  <c r="C11" i="13"/>
  <c r="C12" i="13" s="1"/>
  <c r="G13" i="12"/>
  <c r="H13" i="12"/>
  <c r="I13" i="12"/>
  <c r="E13" i="12"/>
  <c r="C13" i="12"/>
  <c r="G12" i="12"/>
  <c r="G9" i="12"/>
  <c r="G8" i="12"/>
  <c r="G7" i="12"/>
  <c r="I74" i="55" l="1"/>
  <c r="M10" i="2"/>
  <c r="L10" i="2"/>
  <c r="K10" i="2"/>
  <c r="J10" i="2"/>
  <c r="I10" i="2"/>
  <c r="H10" i="2"/>
  <c r="G10" i="2"/>
  <c r="F10" i="2"/>
  <c r="C10" i="2"/>
  <c r="K7" i="1"/>
  <c r="H18" i="63" l="1"/>
  <c r="H15" i="63"/>
  <c r="H12" i="63"/>
  <c r="H8" i="63"/>
  <c r="H4" i="63"/>
  <c r="E15" i="63"/>
  <c r="D15" i="63"/>
  <c r="C15" i="63"/>
  <c r="E12" i="63"/>
  <c r="E16" i="63" s="1"/>
  <c r="D12" i="63"/>
  <c r="D16" i="63" s="1"/>
  <c r="C12" i="63"/>
  <c r="C16" i="63" s="1"/>
  <c r="E8" i="63"/>
  <c r="D8" i="63"/>
  <c r="C8" i="63"/>
  <c r="E4" i="63"/>
  <c r="D4" i="63"/>
  <c r="D18" i="63" s="1"/>
  <c r="C4" i="63"/>
  <c r="G20" i="55"/>
  <c r="H20" i="55" s="1"/>
  <c r="G6" i="55"/>
  <c r="H6" i="55" s="1"/>
  <c r="G25" i="55"/>
  <c r="H25" i="55" s="1"/>
  <c r="G31" i="55"/>
  <c r="H31" i="55" s="1"/>
  <c r="N10" i="44"/>
  <c r="O10" i="44"/>
  <c r="G7" i="42"/>
  <c r="J11" i="41"/>
  <c r="J7" i="54"/>
  <c r="E8" i="3"/>
  <c r="G9" i="3"/>
  <c r="H9" i="3"/>
  <c r="J10" i="34"/>
  <c r="G18" i="63" l="1"/>
  <c r="C18" i="63"/>
  <c r="D17" i="63"/>
  <c r="E18" i="63"/>
  <c r="G21" i="39"/>
  <c r="F39" i="55" s="1"/>
  <c r="B4" i="61" s="1"/>
  <c r="F21" i="39"/>
  <c r="H11" i="24"/>
  <c r="H12" i="23"/>
  <c r="H13" i="23" s="1"/>
  <c r="I12" i="23"/>
  <c r="I13" i="22"/>
  <c r="H12" i="22"/>
  <c r="H13" i="22"/>
  <c r="G22" i="39" l="1"/>
  <c r="F55" i="55"/>
  <c r="E17" i="63"/>
  <c r="F22" i="39"/>
  <c r="I13" i="23"/>
  <c r="H12" i="18"/>
  <c r="C41" i="64" l="1"/>
  <c r="C79" i="64" s="1"/>
  <c r="C81" i="64" s="1"/>
  <c r="C83" i="64" s="1"/>
  <c r="I56" i="55"/>
  <c r="I58" i="55" s="1"/>
  <c r="K56" i="55"/>
  <c r="K58" i="55" s="1"/>
  <c r="H8" i="52"/>
  <c r="F6" i="10"/>
  <c r="D11" i="64" l="1"/>
  <c r="F11" i="64" s="1"/>
  <c r="F7" i="7"/>
  <c r="C11" i="6"/>
  <c r="G43" i="55" l="1"/>
  <c r="G42" i="55"/>
  <c r="H42" i="55" s="1"/>
  <c r="E54" i="55"/>
  <c r="G54" i="55" s="1"/>
  <c r="H54" i="55" s="1"/>
  <c r="E40" i="55"/>
  <c r="G40" i="55" s="1"/>
  <c r="H40" i="55" s="1"/>
  <c r="E30" i="55"/>
  <c r="G30" i="55" s="1"/>
  <c r="H30" i="55" s="1"/>
  <c r="E29" i="55"/>
  <c r="G29" i="55" s="1"/>
  <c r="H29" i="55" s="1"/>
  <c r="E38" i="55"/>
  <c r="G38" i="55" s="1"/>
  <c r="H38" i="55" s="1"/>
  <c r="E37" i="55"/>
  <c r="G37" i="55" s="1"/>
  <c r="H37" i="55" s="1"/>
  <c r="E36" i="55"/>
  <c r="G36" i="55" s="1"/>
  <c r="H36" i="55" s="1"/>
  <c r="E35" i="55"/>
  <c r="E28" i="55"/>
  <c r="G28" i="55" s="1"/>
  <c r="H28" i="55" s="1"/>
  <c r="E27" i="55"/>
  <c r="G27" i="55" s="1"/>
  <c r="H27" i="55" s="1"/>
  <c r="E16" i="55"/>
  <c r="G16" i="55" s="1"/>
  <c r="H16" i="55" s="1"/>
  <c r="G15" i="55"/>
  <c r="H15" i="55" s="1"/>
  <c r="E12" i="55"/>
  <c r="G12" i="55" s="1"/>
  <c r="H12" i="55" s="1"/>
  <c r="E10" i="55"/>
  <c r="G10" i="55" s="1"/>
  <c r="H10" i="55" s="1"/>
  <c r="E9" i="55"/>
  <c r="G9" i="55" s="1"/>
  <c r="H9" i="55" s="1"/>
  <c r="E8" i="55"/>
  <c r="G8" i="55" s="1"/>
  <c r="H8" i="55" s="1"/>
  <c r="E7" i="55"/>
  <c r="G7" i="55" s="1"/>
  <c r="H43" i="55" l="1"/>
  <c r="J55" i="55"/>
  <c r="G35" i="55"/>
  <c r="H35" i="55" s="1"/>
  <c r="B38" i="61"/>
  <c r="H7" i="55"/>
  <c r="B32" i="42"/>
  <c r="B38" i="42" s="1"/>
  <c r="E4" i="57"/>
  <c r="B11" i="57"/>
  <c r="J59" i="55" l="1"/>
  <c r="J74" i="55" s="1"/>
  <c r="J56" i="55"/>
  <c r="J58" i="55" s="1"/>
  <c r="E11" i="55"/>
  <c r="G11" i="55" s="1"/>
  <c r="H11" i="55" s="1"/>
  <c r="B39" i="42"/>
  <c r="E63" i="55" l="1"/>
  <c r="G63" i="55" s="1"/>
  <c r="D54" i="55"/>
  <c r="G50" i="55"/>
  <c r="H50" i="55" s="1"/>
  <c r="D48" i="55"/>
  <c r="D44" i="55"/>
  <c r="E41" i="55"/>
  <c r="G41" i="55" s="1"/>
  <c r="H41" i="55" s="1"/>
  <c r="D41" i="55"/>
  <c r="D33" i="55"/>
  <c r="D26" i="55"/>
  <c r="E24" i="55"/>
  <c r="G24" i="55" s="1"/>
  <c r="H24" i="55" s="1"/>
  <c r="D24" i="55"/>
  <c r="D23" i="55"/>
  <c r="D21" i="55"/>
  <c r="D17" i="55"/>
  <c r="D13" i="55"/>
  <c r="D6" i="55" l="1"/>
  <c r="D62" i="55"/>
  <c r="D61" i="55"/>
  <c r="D58" i="55"/>
  <c r="D57" i="55"/>
  <c r="D7" i="27"/>
  <c r="C7" i="27"/>
  <c r="D64" i="55" l="1"/>
  <c r="D59" i="55"/>
  <c r="D5" i="55"/>
  <c r="D4" i="55"/>
  <c r="D2" i="55"/>
  <c r="G52" i="55"/>
  <c r="H52" i="55" s="1"/>
  <c r="D52" i="55"/>
  <c r="E51" i="55" l="1"/>
  <c r="G51" i="55" s="1"/>
  <c r="H51" i="55" s="1"/>
  <c r="D68" i="55" l="1"/>
  <c r="E72" i="55"/>
  <c r="G72" i="55" s="1"/>
  <c r="E71" i="55"/>
  <c r="D72" i="55"/>
  <c r="D71" i="55"/>
  <c r="D73" i="55" l="1"/>
  <c r="E73" i="55"/>
  <c r="G71" i="55"/>
  <c r="G73" i="55" s="1"/>
  <c r="B27" i="42"/>
  <c r="B28" i="42" s="1"/>
  <c r="E5" i="55"/>
  <c r="G5" i="55" s="1"/>
  <c r="H5" i="55" s="1"/>
  <c r="D67" i="55"/>
  <c r="D66" i="55"/>
  <c r="C6" i="57"/>
  <c r="D6" i="57"/>
  <c r="E6" i="57"/>
  <c r="E68" i="55"/>
  <c r="G68" i="55" s="1"/>
  <c r="E67" i="55"/>
  <c r="G67" i="55" s="1"/>
  <c r="E4" i="27"/>
  <c r="E66" i="55" s="1"/>
  <c r="E47" i="55"/>
  <c r="G47" i="55" s="1"/>
  <c r="H47" i="55" s="1"/>
  <c r="E62" i="55"/>
  <c r="G62" i="55" s="1"/>
  <c r="E58" i="55"/>
  <c r="G58" i="55" s="1"/>
  <c r="E48" i="55"/>
  <c r="G48" i="55" s="1"/>
  <c r="H48" i="55" s="1"/>
  <c r="E46" i="55"/>
  <c r="G46" i="55" s="1"/>
  <c r="H46" i="55" s="1"/>
  <c r="E44" i="55"/>
  <c r="G44" i="55" s="1"/>
  <c r="H44" i="55" s="1"/>
  <c r="E23" i="55"/>
  <c r="G23" i="55" s="1"/>
  <c r="H23" i="55" s="1"/>
  <c r="D69" i="55" l="1"/>
  <c r="E69" i="55"/>
  <c r="G66" i="55"/>
  <c r="G69" i="55" s="1"/>
  <c r="E7" i="27"/>
  <c r="E13" i="55"/>
  <c r="G13" i="55" s="1"/>
  <c r="H13" i="55" s="1"/>
  <c r="E4" i="55"/>
  <c r="G4" i="55" s="1"/>
  <c r="H4" i="55" s="1"/>
  <c r="E2" i="55"/>
  <c r="G2" i="55" s="1"/>
  <c r="H2" i="55" s="1"/>
  <c r="D21" i="39" l="1"/>
  <c r="C21" i="39"/>
  <c r="E20" i="39"/>
  <c r="E21" i="39" s="1"/>
  <c r="E39" i="55" s="1"/>
  <c r="G39" i="55" s="1"/>
  <c r="H39" i="55" s="1"/>
  <c r="D7" i="39"/>
  <c r="C7" i="39"/>
  <c r="C22" i="39" l="1"/>
  <c r="D22" i="39"/>
  <c r="E22" i="39"/>
  <c r="E4" i="26" l="1"/>
  <c r="D7" i="26"/>
  <c r="C7" i="26"/>
  <c r="E4" i="25"/>
  <c r="C6" i="25"/>
  <c r="D6" i="25"/>
  <c r="F6" i="42"/>
  <c r="H11" i="41"/>
  <c r="I11" i="41"/>
  <c r="E6" i="25" l="1"/>
  <c r="E57" i="55"/>
  <c r="E61" i="55"/>
  <c r="E7" i="26"/>
  <c r="E64" i="55" l="1"/>
  <c r="G61" i="55"/>
  <c r="G64" i="55" s="1"/>
  <c r="E59" i="55"/>
  <c r="G57" i="55"/>
  <c r="G59" i="55" s="1"/>
  <c r="D10" i="55" l="1"/>
  <c r="D9" i="55"/>
  <c r="D37" i="55" l="1"/>
  <c r="D38" i="55" l="1"/>
  <c r="D11" i="55"/>
  <c r="D12" i="55"/>
  <c r="G14" i="55" l="1"/>
  <c r="H14" i="55" l="1"/>
  <c r="D22" i="55"/>
  <c r="G12" i="23"/>
  <c r="G13" i="23" s="1"/>
  <c r="E33" i="55" s="1"/>
  <c r="G33" i="55" s="1"/>
  <c r="H33" i="55" s="1"/>
  <c r="F12" i="23"/>
  <c r="F13" i="23" s="1"/>
  <c r="E12" i="23"/>
  <c r="E13" i="23" s="1"/>
  <c r="D12" i="23"/>
  <c r="D13" i="23" s="1"/>
  <c r="C12" i="23"/>
  <c r="C13" i="23" s="1"/>
  <c r="G11" i="24"/>
  <c r="E34" i="55" s="1"/>
  <c r="G34" i="55" s="1"/>
  <c r="H34" i="55" s="1"/>
  <c r="F11" i="24"/>
  <c r="E11" i="24"/>
  <c r="D34" i="55" s="1"/>
  <c r="D11" i="24"/>
  <c r="C11" i="24"/>
  <c r="E22" i="55" l="1"/>
  <c r="G22" i="55" s="1"/>
  <c r="H22" i="55" s="1"/>
  <c r="G19" i="55"/>
  <c r="H19" i="55" s="1"/>
  <c r="G18" i="55"/>
  <c r="H18" i="55" s="1"/>
  <c r="E17" i="55"/>
  <c r="G17" i="55" s="1"/>
  <c r="H17" i="55" s="1"/>
  <c r="D16" i="55"/>
  <c r="C11" i="7"/>
  <c r="E11" i="7"/>
  <c r="F11" i="7"/>
  <c r="D10" i="44"/>
  <c r="E10" i="44"/>
  <c r="F10" i="44"/>
  <c r="G10" i="44"/>
  <c r="H10" i="44"/>
  <c r="I10" i="44"/>
  <c r="J10" i="44"/>
  <c r="K10" i="44"/>
  <c r="L10" i="44"/>
  <c r="M10" i="44"/>
  <c r="C10" i="44"/>
  <c r="C11" i="41"/>
  <c r="D11" i="41"/>
  <c r="E11" i="41"/>
  <c r="F11" i="41"/>
  <c r="G11" i="41"/>
  <c r="F7" i="42"/>
  <c r="E7" i="42"/>
  <c r="D7" i="42"/>
  <c r="D53" i="55" s="1"/>
  <c r="C7" i="42"/>
  <c r="B7" i="42"/>
  <c r="G8" i="52"/>
  <c r="F8" i="52"/>
  <c r="E8" i="52"/>
  <c r="D8" i="52"/>
  <c r="C8" i="52"/>
  <c r="D8" i="55" l="1"/>
  <c r="D8" i="65"/>
  <c r="E21" i="55"/>
  <c r="G21" i="55" s="1"/>
  <c r="H21" i="55" s="1"/>
  <c r="E53" i="55"/>
  <c r="G53" i="55" s="1"/>
  <c r="H53" i="55" s="1"/>
  <c r="I7" i="54" l="1"/>
  <c r="H7" i="54"/>
  <c r="G7" i="54"/>
  <c r="D49" i="55" s="1"/>
  <c r="F7" i="54"/>
  <c r="E7" i="54"/>
  <c r="D7" i="54"/>
  <c r="C7" i="54"/>
  <c r="E49" i="55" l="1"/>
  <c r="G49" i="55" s="1"/>
  <c r="H49" i="55" s="1"/>
  <c r="E9" i="3" l="1"/>
  <c r="D46" i="55" l="1"/>
  <c r="D29" i="55" l="1"/>
  <c r="D30" i="55"/>
  <c r="I10" i="34"/>
  <c r="H10" i="34"/>
  <c r="G10" i="34"/>
  <c r="D45" i="55" s="1"/>
  <c r="F10" i="34"/>
  <c r="E10" i="34"/>
  <c r="D10" i="34"/>
  <c r="C10" i="34"/>
  <c r="E45" i="55" l="1"/>
  <c r="G45" i="55" s="1"/>
  <c r="H45" i="55" s="1"/>
  <c r="D36" i="55" l="1"/>
  <c r="D35" i="55" l="1"/>
  <c r="G12" i="22" l="1"/>
  <c r="G13" i="22" s="1"/>
  <c r="F12" i="22"/>
  <c r="E12" i="22"/>
  <c r="D12" i="22"/>
  <c r="C12" i="22"/>
  <c r="F7" i="22"/>
  <c r="E7" i="22"/>
  <c r="D7" i="22"/>
  <c r="C7" i="22"/>
  <c r="F13" i="22" l="1"/>
  <c r="C13" i="22"/>
  <c r="D13" i="22"/>
  <c r="E32" i="55"/>
  <c r="G32" i="55" s="1"/>
  <c r="H32" i="55" s="1"/>
  <c r="E13" i="22"/>
  <c r="D32" i="55" s="1"/>
  <c r="E3" i="55" l="1"/>
  <c r="G3" i="55" s="1"/>
  <c r="H3" i="55" l="1"/>
  <c r="D27" i="55"/>
  <c r="D28" i="55"/>
  <c r="G12" i="18" l="1"/>
  <c r="F12" i="18"/>
  <c r="E12" i="18"/>
  <c r="D12" i="18"/>
  <c r="C12" i="18"/>
  <c r="B37" i="61" l="1"/>
  <c r="E26" i="55"/>
  <c r="G26" i="55" s="1"/>
  <c r="H26" i="55" l="1"/>
  <c r="F22" i="7"/>
  <c r="C22" i="7"/>
  <c r="E21" i="7"/>
  <c r="E13" i="7"/>
  <c r="C23" i="7" l="1"/>
  <c r="E22" i="7"/>
  <c r="F23" i="7"/>
  <c r="D7" i="55" l="1"/>
  <c r="D7" i="65"/>
  <c r="D55" i="65" s="1"/>
  <c r="E23" i="7"/>
  <c r="B36" i="61"/>
  <c r="G7" i="1"/>
  <c r="C7" i="1"/>
  <c r="B7" i="1"/>
  <c r="E55" i="55" l="1"/>
  <c r="E74" i="55" s="1"/>
  <c r="D3" i="55"/>
  <c r="B75" i="55" l="1"/>
  <c r="B76" i="55"/>
  <c r="I75" i="55"/>
  <c r="J75" i="55"/>
  <c r="K75" i="55"/>
  <c r="H55" i="55"/>
  <c r="G55" i="55"/>
  <c r="D55" i="55"/>
  <c r="F9" i="3"/>
  <c r="D9" i="3"/>
  <c r="C9" i="3"/>
  <c r="G76" i="55" l="1"/>
  <c r="G75" i="55"/>
  <c r="J7" i="1"/>
  <c r="H7" i="1"/>
  <c r="F7" i="1"/>
  <c r="E7" i="1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Warner</author>
  </authors>
  <commentList>
    <comment ref="G7" authorId="0" shapeId="0" xr:uid="{A93AC05B-0757-4557-B34B-790746DEBCFC}">
      <text>
        <r>
          <rPr>
            <b/>
            <sz val="9"/>
            <color indexed="81"/>
            <rFont val="Tahoma"/>
            <family val="2"/>
          </rPr>
          <t>Jan Warner: plus</t>
        </r>
        <r>
          <rPr>
            <sz val="9"/>
            <color indexed="81"/>
            <rFont val="Tahoma"/>
            <family val="2"/>
          </rPr>
          <t xml:space="preserve">
$13,867 from free cash
Highway note</t>
        </r>
      </text>
    </comment>
    <comment ref="I7" authorId="0" shapeId="0" xr:uid="{269F42EE-6C19-485F-B7DE-9842702B8680}">
      <text>
        <r>
          <rPr>
            <b/>
            <sz val="9"/>
            <color indexed="81"/>
            <rFont val="Tahoma"/>
            <charset val="1"/>
          </rPr>
          <t>Jan Warner:</t>
        </r>
        <r>
          <rPr>
            <sz val="9"/>
            <color indexed="81"/>
            <rFont val="Tahoma"/>
            <charset val="1"/>
          </rPr>
          <t xml:space="preserve">
plus $12,811 free cash
Highway note
</t>
        </r>
      </text>
    </comment>
    <comment ref="G8" authorId="0" shapeId="0" xr:uid="{0E0327DE-4F62-4FB2-8E0C-CF6051ABFF8A}">
      <text>
        <r>
          <rPr>
            <b/>
            <sz val="9"/>
            <color indexed="81"/>
            <rFont val="Tahoma"/>
            <charset val="1"/>
          </rPr>
          <t>Jan Warner:</t>
        </r>
        <r>
          <rPr>
            <sz val="9"/>
            <color indexed="81"/>
            <rFont val="Tahoma"/>
            <charset val="1"/>
          </rPr>
          <t xml:space="preserve">
Payment of $65,270 needed from free cash June 2023 ($60,000 principal + $5,270 interest)
Paving note is for three years, this year is a double payment budgeted (FY23 &amp; 24 combined)
</t>
        </r>
      </text>
    </comment>
  </commentList>
</comments>
</file>

<file path=xl/sharedStrings.xml><?xml version="1.0" encoding="utf-8"?>
<sst xmlns="http://schemas.openxmlformats.org/spreadsheetml/2006/main" count="1915" uniqueCount="816">
  <si>
    <t>Town of Conway</t>
  </si>
  <si>
    <t>114- Moderator</t>
  </si>
  <si>
    <t>FY 2020</t>
  </si>
  <si>
    <t>FY 2021</t>
  </si>
  <si>
    <t>FY 2022</t>
  </si>
  <si>
    <t>FY 2023</t>
  </si>
  <si>
    <t>Budget</t>
  </si>
  <si>
    <t>Expended</t>
  </si>
  <si>
    <t>Requested</t>
  </si>
  <si>
    <t>TOTAL</t>
  </si>
  <si>
    <t>122 - Selectboard</t>
  </si>
  <si>
    <t>Account #</t>
  </si>
  <si>
    <t>FY 2019</t>
  </si>
  <si>
    <t>FY2020</t>
  </si>
  <si>
    <t xml:space="preserve">FY23 </t>
  </si>
  <si>
    <t>Selectboard Dues/Subscriptions</t>
  </si>
  <si>
    <t>Selectboard Training/Meetings</t>
  </si>
  <si>
    <t>650 - Newsletter*</t>
  </si>
  <si>
    <t>FY 2021**</t>
  </si>
  <si>
    <t>001-150-5400-000-211-0</t>
  </si>
  <si>
    <t>Mileage</t>
  </si>
  <si>
    <t>001-150-5400-000-302-0</t>
  </si>
  <si>
    <t>Postage</t>
  </si>
  <si>
    <t>001-150-5400-000-420-0</t>
  </si>
  <si>
    <t>Supplies</t>
  </si>
  <si>
    <t>* new in FY 2022</t>
  </si>
  <si>
    <t>** FY 2021 expenses under 150 - Town Administration</t>
  </si>
  <si>
    <t>Selectboard Stipends</t>
  </si>
  <si>
    <t>131 - Finance Committee</t>
  </si>
  <si>
    <t>FY2021</t>
  </si>
  <si>
    <t>FY2022</t>
  </si>
  <si>
    <t>FY2023</t>
  </si>
  <si>
    <t>001-131-5400-000-000-0</t>
  </si>
  <si>
    <t>Finance Committee Expense</t>
  </si>
  <si>
    <t>141 - Assessors</t>
  </si>
  <si>
    <t>FY 2017</t>
  </si>
  <si>
    <t>FY 2018</t>
  </si>
  <si>
    <t xml:space="preserve">                      FY 2021</t>
  </si>
  <si>
    <t>001-141-5100-000-110-0</t>
  </si>
  <si>
    <t>Salary</t>
  </si>
  <si>
    <t>Clerical</t>
  </si>
  <si>
    <t>No Project Code</t>
  </si>
  <si>
    <t>001-141-5400-000-280-0</t>
  </si>
  <si>
    <t>Tax Map Maintenance</t>
  </si>
  <si>
    <t>001-141-5400-000-300-0</t>
  </si>
  <si>
    <t>Deeds/Plans</t>
  </si>
  <si>
    <t>001-141-5400-000-302-0</t>
  </si>
  <si>
    <t>001-141-5400-000-320-0</t>
  </si>
  <si>
    <t>Dues/Subscriptions</t>
  </si>
  <si>
    <t>001-141-5400-000-321-0</t>
  </si>
  <si>
    <t>Tuition/Mtgs</t>
  </si>
  <si>
    <t>001-141-5400-000-420-0</t>
  </si>
  <si>
    <t>Office Supplies</t>
  </si>
  <si>
    <t>001-141-5400-000-430-0</t>
  </si>
  <si>
    <t>Equipment Repair</t>
  </si>
  <si>
    <t>001-141-5400-000-440-0</t>
  </si>
  <si>
    <t>Valuation Software Support</t>
  </si>
  <si>
    <t>GIS Website Maint.</t>
  </si>
  <si>
    <t>001-142-5841-000-000-0</t>
  </si>
  <si>
    <t>REVALUATION</t>
  </si>
  <si>
    <t>132 - Reserve fund</t>
  </si>
  <si>
    <t>001-132-5400-000-000-0</t>
  </si>
  <si>
    <t>135 - Audit</t>
  </si>
  <si>
    <t>001-135-5400-000-000-0</t>
  </si>
  <si>
    <t>FY23</t>
  </si>
  <si>
    <t>145 - Treasurer/Collector</t>
  </si>
  <si>
    <t>Subtotal</t>
  </si>
  <si>
    <t>001-145-5400-000-211-0</t>
  </si>
  <si>
    <t>001-145-5400-000-302-0</t>
  </si>
  <si>
    <t>001-145-5400-000-320-0</t>
  </si>
  <si>
    <t>001-145-5400-000-325-0</t>
  </si>
  <si>
    <t>001-145-5400-000-420-0</t>
  </si>
  <si>
    <t>001-145-5400-000-440-0</t>
  </si>
  <si>
    <t>150 - Town Administration</t>
  </si>
  <si>
    <t>Description</t>
  </si>
  <si>
    <t>TOTAL SALARIES</t>
  </si>
  <si>
    <t>Dues &amp; Subscriptions</t>
  </si>
  <si>
    <t>Training/Mtgs</t>
  </si>
  <si>
    <t>Contracted Services</t>
  </si>
  <si>
    <t>Advertising</t>
  </si>
  <si>
    <t>Town Report</t>
  </si>
  <si>
    <t>Billing</t>
  </si>
  <si>
    <t>TOTAL EXPENSES</t>
  </si>
  <si>
    <t>151 - Legal</t>
  </si>
  <si>
    <t>001-151-5400-000-000-0</t>
  </si>
  <si>
    <t>Legal expense</t>
  </si>
  <si>
    <t>001-141-5400-000-282-0</t>
  </si>
  <si>
    <t>159 - IT</t>
  </si>
  <si>
    <t>N/A</t>
  </si>
  <si>
    <t>Professional-Technical expenses</t>
  </si>
  <si>
    <t>Software and subscriptions</t>
  </si>
  <si>
    <t>Equipment and supplies</t>
  </si>
  <si>
    <t>includes regular updates, backups, switch-outs/configuration, monitoring, compliance, etc., as well as non-routine work (additional support)</t>
  </si>
  <si>
    <t>161 - Clerk</t>
  </si>
  <si>
    <t>001-161-5100-000-112-0</t>
  </si>
  <si>
    <t>Hourly</t>
  </si>
  <si>
    <t>001-161-5400-000-211-0</t>
  </si>
  <si>
    <t>001-161-5400-000-242-0</t>
  </si>
  <si>
    <t>Service Calls</t>
  </si>
  <si>
    <t>001-161-5400-000-302-0</t>
  </si>
  <si>
    <t>001-161-5400-000-320-0</t>
  </si>
  <si>
    <t>001-161-5400-000-321-0</t>
  </si>
  <si>
    <t>001-161-5400-000-381-0</t>
  </si>
  <si>
    <t>001-161-5400-000-420-0</t>
  </si>
  <si>
    <t>001-161-5400-000-850-0</t>
  </si>
  <si>
    <t>New Equipment</t>
  </si>
  <si>
    <t>162- Board of Registrars</t>
  </si>
  <si>
    <t>001-162-5400-000-420-0</t>
  </si>
  <si>
    <t>163- Elections</t>
  </si>
  <si>
    <t>001-163-5100-000-110-0</t>
  </si>
  <si>
    <t>001-163-5400-000-285-0</t>
  </si>
  <si>
    <t>Professional Svc.</t>
  </si>
  <si>
    <t>001-163-5400-000-302-0</t>
  </si>
  <si>
    <t>001-163-5400-000-321-0</t>
  </si>
  <si>
    <t>Training</t>
  </si>
  <si>
    <t>001-163-5400-000-420-0</t>
  </si>
  <si>
    <t>001-163-5400-000-580-0</t>
  </si>
  <si>
    <t>Equipment</t>
  </si>
  <si>
    <t>001-163-5400-000-850-0</t>
  </si>
  <si>
    <t>Open Space Committee - 170</t>
  </si>
  <si>
    <t>001-171-5400-000-000-0</t>
  </si>
  <si>
    <t>No Proj.Code</t>
  </si>
  <si>
    <t>001-171-5400-000-245-0</t>
  </si>
  <si>
    <t>001-171-5400-000-321-0</t>
  </si>
  <si>
    <t>001-171-5400-000-381-0</t>
  </si>
  <si>
    <t>001-171-5400-000-420-0</t>
  </si>
  <si>
    <t>001-171-5400-000-585-0</t>
  </si>
  <si>
    <t>Prof &amp; Tech</t>
  </si>
  <si>
    <t>171- Conservation Commission</t>
  </si>
  <si>
    <t>001-171-5400-302-0</t>
  </si>
  <si>
    <t>Dues</t>
  </si>
  <si>
    <t>175 - Planning Board</t>
  </si>
  <si>
    <t>001-175-5400-000-320-0</t>
  </si>
  <si>
    <t>Expense</t>
  </si>
  <si>
    <t>001-175-5400-000-211-0</t>
  </si>
  <si>
    <t>001-175-5400-000-321-0</t>
  </si>
  <si>
    <t>001-175-5400-000-381-0</t>
  </si>
  <si>
    <t>001-175-5400-000-420-0</t>
  </si>
  <si>
    <t>Office supplies</t>
  </si>
  <si>
    <t>001-175-5400-000-850-0</t>
  </si>
  <si>
    <t>New equipment</t>
  </si>
  <si>
    <t xml:space="preserve">176 - Zoning Board </t>
  </si>
  <si>
    <t>001-176-5400-000-320-0</t>
  </si>
  <si>
    <t>Zoning Board Expense</t>
  </si>
  <si>
    <t>190 - Personnel Committee</t>
  </si>
  <si>
    <t>001-190-5400-000-0</t>
  </si>
  <si>
    <t>192 - Building Maintenance</t>
  </si>
  <si>
    <t>001-192-5400-000-210-0</t>
  </si>
  <si>
    <t>Electricity</t>
  </si>
  <si>
    <t>001-192-5400-000-410-0</t>
  </si>
  <si>
    <t>001-192-5400-000-421-0</t>
  </si>
  <si>
    <t>001-192-5400-000-430-0</t>
  </si>
  <si>
    <t>Maintenance &amp; Repairs</t>
  </si>
  <si>
    <t>Grounds Maintenance</t>
  </si>
  <si>
    <t>193- Town Insurance</t>
  </si>
  <si>
    <t>001-193-5400-000-000-0</t>
  </si>
  <si>
    <t>001-193-5400-000-740-0</t>
  </si>
  <si>
    <t>General Liability Insurance</t>
  </si>
  <si>
    <t>001-193-5400-000-742-0</t>
  </si>
  <si>
    <t>Worker's Comp Insurance</t>
  </si>
  <si>
    <t>001-193-5400-000-743-0</t>
  </si>
  <si>
    <t>Insurance Police &amp; Fire</t>
  </si>
  <si>
    <t>001-193-5400-000-744-0</t>
  </si>
  <si>
    <t>Bonds</t>
  </si>
  <si>
    <t>001-193-5400-000-745-0</t>
  </si>
  <si>
    <t>Professional Insurance*</t>
  </si>
  <si>
    <t>*in 740, Gen. Liability, through FY21</t>
  </si>
  <si>
    <t>210- Police Department</t>
  </si>
  <si>
    <t>FY 2021*</t>
  </si>
  <si>
    <t>001-210-5400-000-110-0</t>
  </si>
  <si>
    <t>Salaries</t>
  </si>
  <si>
    <t>001-210-5400-000-111-0</t>
  </si>
  <si>
    <t>001-210-5400-000-241-0</t>
  </si>
  <si>
    <t>Radio Fees</t>
  </si>
  <si>
    <t>001-210-5400-000-302-0</t>
  </si>
  <si>
    <t>001-210-5400-000-320-0</t>
  </si>
  <si>
    <t>001-210-5400-000-321-0</t>
  </si>
  <si>
    <t>001-210-5400-000-412-0</t>
  </si>
  <si>
    <t>Gasoline</t>
  </si>
  <si>
    <t>001-210-5400-000-420-0</t>
  </si>
  <si>
    <t>001-210-5400-000-421-0</t>
  </si>
  <si>
    <t>001-210-5400-000-430-0</t>
  </si>
  <si>
    <t>Vehicle Maint</t>
  </si>
  <si>
    <t>001-210-5400-000-440-0</t>
  </si>
  <si>
    <t>Software</t>
  </si>
  <si>
    <t>001-210-5400-000-502-0</t>
  </si>
  <si>
    <t>Uniforms</t>
  </si>
  <si>
    <t>Dues/Mtgs</t>
  </si>
  <si>
    <t>Trainings</t>
  </si>
  <si>
    <t>Fees</t>
  </si>
  <si>
    <t>Office Supply</t>
  </si>
  <si>
    <t>Software Support</t>
  </si>
  <si>
    <t>220- Fire Department</t>
  </si>
  <si>
    <t>001-220-5400-000-111-0</t>
  </si>
  <si>
    <t>001-220-5400-000-112-0</t>
  </si>
  <si>
    <t>Labor</t>
  </si>
  <si>
    <t>001-220-5400-000-000-0</t>
  </si>
  <si>
    <t>001-220-5400-000-241-0</t>
  </si>
  <si>
    <t>001-220-5400-000-320-0</t>
  </si>
  <si>
    <t>001-220-5400-000-321-0</t>
  </si>
  <si>
    <t>001-220-5400-000-339-0</t>
  </si>
  <si>
    <t>Phone Rental</t>
  </si>
  <si>
    <t>001-220-5400-000-340-0</t>
  </si>
  <si>
    <t>Cell Phone</t>
  </si>
  <si>
    <t>001-220-5400-000-412-0</t>
  </si>
  <si>
    <t>Gasoline/ Fuel</t>
  </si>
  <si>
    <t>001-220-5400-000-421-0</t>
  </si>
  <si>
    <t>001-220-5400-000-430-0</t>
  </si>
  <si>
    <t>001-220-5400-000-850-0</t>
  </si>
  <si>
    <t>001-220-5400-000-851-0</t>
  </si>
  <si>
    <t>SCBA Maintenance</t>
  </si>
  <si>
    <t>*0</t>
  </si>
  <si>
    <t>001-220-5400-000-852-0</t>
  </si>
  <si>
    <t>Turnout Gear</t>
  </si>
  <si>
    <t>*includes retro pay voted ATM 6/5/21</t>
  </si>
  <si>
    <t>231- Ambulance</t>
  </si>
  <si>
    <t>FY2014</t>
  </si>
  <si>
    <t>Clerk Wages</t>
  </si>
  <si>
    <t>001-231-5400-000-243-0</t>
  </si>
  <si>
    <t>Radios</t>
  </si>
  <si>
    <t>001-231-5400-000-302-0</t>
  </si>
  <si>
    <t>001-231-5400-000-321-0</t>
  </si>
  <si>
    <t>001-231-5400-000-322-0</t>
  </si>
  <si>
    <t>001-231-5400-000-340-0</t>
  </si>
  <si>
    <t>Telephone/ Cell</t>
  </si>
  <si>
    <t>001-231-5400-000-370-0</t>
  </si>
  <si>
    <t>Transfer/Intercep</t>
  </si>
  <si>
    <t>001-231-5400-000-420-0</t>
  </si>
  <si>
    <t>001-231-5400-000-421-0</t>
  </si>
  <si>
    <t>Other Supplies</t>
  </si>
  <si>
    <t>001-231-5400-000-430-0</t>
  </si>
  <si>
    <t>Maint/Repair</t>
  </si>
  <si>
    <t>001-231-5400-000-440-0</t>
  </si>
  <si>
    <t>001-231-5400-000-502-0</t>
  </si>
  <si>
    <t>001-231-5400-000-580-0</t>
  </si>
  <si>
    <t>001-231-5400-000-585-0</t>
  </si>
  <si>
    <t>Billing Charges</t>
  </si>
  <si>
    <t>* FY 2021 and 2022 raises proposed by Town Administrator</t>
  </si>
  <si>
    <t>291 - Emergency Management</t>
  </si>
  <si>
    <t>TOTAL STIPEND</t>
  </si>
  <si>
    <t>001-291-5400-000-321-0</t>
  </si>
  <si>
    <t>001-291-5400-000-380-0</t>
  </si>
  <si>
    <t>Emergency Alert System</t>
  </si>
  <si>
    <t>001-291-5400-000-580-0</t>
  </si>
  <si>
    <t>Emergency Mgt Equipment</t>
  </si>
  <si>
    <t>001-291-5400-000-850-0</t>
  </si>
  <si>
    <t>Overtime Pay</t>
  </si>
  <si>
    <t>001-423-5400-000-386-0</t>
  </si>
  <si>
    <t>Salt</t>
  </si>
  <si>
    <t>001-423-5400-000-387-0</t>
  </si>
  <si>
    <t>Sand</t>
  </si>
  <si>
    <t>001-423-5400-000-412-0</t>
  </si>
  <si>
    <t>Diesel</t>
  </si>
  <si>
    <t>001-423-5400-000-421-0</t>
  </si>
  <si>
    <t>422 - Highway</t>
  </si>
  <si>
    <t>001-422-5100-000-110-0</t>
  </si>
  <si>
    <t>001-422-5100-000-113-0</t>
  </si>
  <si>
    <t>Hourly Wages</t>
  </si>
  <si>
    <t>Telephone</t>
  </si>
  <si>
    <t>001-422-5400-000-380-0</t>
  </si>
  <si>
    <t>001-422-5400-000-383-0</t>
  </si>
  <si>
    <t>001-422-5400-000-412-0</t>
  </si>
  <si>
    <t>Fuel</t>
  </si>
  <si>
    <t>001-422-5400-000-420-0</t>
  </si>
  <si>
    <t>001-422-5400-000-421-0</t>
  </si>
  <si>
    <t>001-422-5400-000-430-0</t>
  </si>
  <si>
    <t>001-422-5400-000-850-0</t>
  </si>
  <si>
    <t>*includes retro pay from 6/5/21 ATM</t>
  </si>
  <si>
    <t>001-423-5100-000-113-0</t>
  </si>
  <si>
    <t>423 - Snow &amp; Ice</t>
  </si>
  <si>
    <t>512 Board of Health</t>
  </si>
  <si>
    <t>001-512-5100-000-111-0</t>
  </si>
  <si>
    <t>001-512-5100-000-112-0</t>
  </si>
  <si>
    <t>Animal Inspect</t>
  </si>
  <si>
    <t>Stipends</t>
  </si>
  <si>
    <t>001-512-5400-000-211-0</t>
  </si>
  <si>
    <t>001-512-5400-000-302-0</t>
  </si>
  <si>
    <t>001-512-5400-000-320-0</t>
  </si>
  <si>
    <t>001-512-5400-000-321-0</t>
  </si>
  <si>
    <t>Tuition/ Meet</t>
  </si>
  <si>
    <t>001-512-5400-000-380-0</t>
  </si>
  <si>
    <t>001-512-5400-000-381-0</t>
  </si>
  <si>
    <t>001-512-5400-000-420-0</t>
  </si>
  <si>
    <t>001-512-5400-000-421-0</t>
  </si>
  <si>
    <t>Other Supply</t>
  </si>
  <si>
    <t>001-512-5400-000-585-0</t>
  </si>
  <si>
    <t>001-512-5400-000-586-0</t>
  </si>
  <si>
    <t>Vector-Borne Disease</t>
  </si>
  <si>
    <t>FY 2022*</t>
  </si>
  <si>
    <t xml:space="preserve">FCSWMD Admin </t>
  </si>
  <si>
    <t>Trash Tipping</t>
  </si>
  <si>
    <t>Haz Waste Coll</t>
  </si>
  <si>
    <t>*department moved from BOH to SB in FY22</t>
  </si>
  <si>
    <t>491 - Cemetery Commission</t>
  </si>
  <si>
    <t>001-491-5400-000-211-0</t>
  </si>
  <si>
    <t>001-491-5400-000-321-0</t>
  </si>
  <si>
    <t>001-491-5400-000-420-0</t>
  </si>
  <si>
    <t>541- Council on Aging</t>
  </si>
  <si>
    <t>001-541-5400-000-000-0</t>
  </si>
  <si>
    <t>Council on Aging Expense</t>
  </si>
  <si>
    <t>543  - Veterans</t>
  </si>
  <si>
    <t>001-543-5400-000-000-0</t>
  </si>
  <si>
    <t>001-543-5400-000-150-0</t>
  </si>
  <si>
    <t>Benefits</t>
  </si>
  <si>
    <t>001-543-5400-000-420-0</t>
  </si>
  <si>
    <t>Operating</t>
  </si>
  <si>
    <t>001-543-5400-000-421-0</t>
  </si>
  <si>
    <t>FY 2023*</t>
  </si>
  <si>
    <t>001-630-5400-000-000-0</t>
  </si>
  <si>
    <t>433 - Transfer Station*</t>
  </si>
  <si>
    <t>Compost</t>
  </si>
  <si>
    <t>Trash Hauling</t>
  </si>
  <si>
    <t>Recycling Hauling</t>
  </si>
  <si>
    <t>Springfield MRF Fee</t>
  </si>
  <si>
    <t>Inspections</t>
  </si>
  <si>
    <t>MODERATOR</t>
  </si>
  <si>
    <t>SELECTBOARD</t>
  </si>
  <si>
    <t>FINANCE COMMITTEE</t>
  </si>
  <si>
    <t>RESERVE FUND</t>
  </si>
  <si>
    <t>ASSESSORS</t>
  </si>
  <si>
    <t>TOWN ADMINISTRATION</t>
  </si>
  <si>
    <t>INFORMATION TECHNOLOGY</t>
  </si>
  <si>
    <t>TOWN CLERK</t>
  </si>
  <si>
    <t>ELECTIONS</t>
  </si>
  <si>
    <t>CONSERVATION COMMISSION</t>
  </si>
  <si>
    <t>AGRICULTURAL COMMISSION</t>
  </si>
  <si>
    <t>PLANNING BOARD</t>
  </si>
  <si>
    <t>ZONING BOARD OF APPEALS</t>
  </si>
  <si>
    <t>EMERGENCY MANAGEMENT</t>
  </si>
  <si>
    <t>TREE WARDEN</t>
  </si>
  <si>
    <t>SNOW &amp; ICE</t>
  </si>
  <si>
    <t>TRANSFER STATION</t>
  </si>
  <si>
    <t>BOARD OF HEALTH</t>
  </si>
  <si>
    <t>COUNCIL ON AGING</t>
  </si>
  <si>
    <t>VETERANS</t>
  </si>
  <si>
    <t>HISTORICAL COMMISSION</t>
  </si>
  <si>
    <t>Fire Warden</t>
  </si>
  <si>
    <t>Deputy Chief</t>
  </si>
  <si>
    <t>292 - Animal Control Officer</t>
  </si>
  <si>
    <t>Stipend</t>
  </si>
  <si>
    <t>no code</t>
  </si>
  <si>
    <t>001-292-5400-000-211-0</t>
  </si>
  <si>
    <t>001-292-5400-000-321-0</t>
  </si>
  <si>
    <t>001-292-5400-000-421-0</t>
  </si>
  <si>
    <t>001-292-5400-000-430-0</t>
  </si>
  <si>
    <t>New Equpment</t>
  </si>
  <si>
    <t>294 - TREE WARDEN</t>
  </si>
  <si>
    <t>001-294-5400-000-000-0</t>
  </si>
  <si>
    <t>001-294-5400-000-211-0</t>
  </si>
  <si>
    <t>001-294-5400-000-320-0</t>
  </si>
  <si>
    <t>691- Historical Commission</t>
  </si>
  <si>
    <t>001-691-5400-000-000-0</t>
  </si>
  <si>
    <t>710 - Debt</t>
  </si>
  <si>
    <t>001-710-5900-000-000-0</t>
  </si>
  <si>
    <t>Highway Garage Note</t>
  </si>
  <si>
    <t>001-751-5900-000-000-0</t>
  </si>
  <si>
    <t>Highway Garage Note interest</t>
  </si>
  <si>
    <t>001-752-5900-000-000-0</t>
  </si>
  <si>
    <t>001-172-5400-000-0</t>
  </si>
  <si>
    <t>No code</t>
  </si>
  <si>
    <t>001-172-5400-320-0</t>
  </si>
  <si>
    <t>172 -Agricultural Commission</t>
  </si>
  <si>
    <t>820 State Assessments</t>
  </si>
  <si>
    <t>001-852-5640-000-000-0</t>
  </si>
  <si>
    <t>Air Pollution District</t>
  </si>
  <si>
    <t>RMV Marking Surcharge</t>
  </si>
  <si>
    <t>Reg Transit Authority</t>
  </si>
  <si>
    <t>Charter School Assessment</t>
  </si>
  <si>
    <t>School Choice Assessment</t>
  </si>
  <si>
    <t>001-852-5646-000-000-0</t>
  </si>
  <si>
    <t>001-852-5663-000-000-0</t>
  </si>
  <si>
    <t>001-852-5690-000-000-0</t>
  </si>
  <si>
    <t>001-852-5691-000-000-0</t>
  </si>
  <si>
    <t>Actual</t>
  </si>
  <si>
    <t>830 County (FRCOG) Assessments</t>
  </si>
  <si>
    <t>001-830-5400-000-000-0</t>
  </si>
  <si>
    <t>900 - Employee Benefits</t>
  </si>
  <si>
    <t>001-900-5400-000-001-0</t>
  </si>
  <si>
    <t>Retirement</t>
  </si>
  <si>
    <t>Unemployment</t>
  </si>
  <si>
    <t>Group Insurance - Health</t>
  </si>
  <si>
    <t>Group Insurance - Life</t>
  </si>
  <si>
    <t>Medicare</t>
  </si>
  <si>
    <t>001-900-5400-000-000-0</t>
  </si>
  <si>
    <t>001-900-5400-000-002-0</t>
  </si>
  <si>
    <t>001-900-5400-000-003-0</t>
  </si>
  <si>
    <t>001-900-5400-000-005-0</t>
  </si>
  <si>
    <t>001-900-5400-000-006-0</t>
  </si>
  <si>
    <t>001-900-5400-000-008-0</t>
  </si>
  <si>
    <t>HC Plan Mitigation</t>
  </si>
  <si>
    <t>970 - Transfer To</t>
  </si>
  <si>
    <t>001-970-5962-000-000-0</t>
  </si>
  <si>
    <t>001-970-5964-000-000-0</t>
  </si>
  <si>
    <t>To Stabilization</t>
  </si>
  <si>
    <t>To Special Revenue Fund</t>
  </si>
  <si>
    <t xml:space="preserve">  </t>
  </si>
  <si>
    <t>001-970-5966-000-000-0</t>
  </si>
  <si>
    <t>To Trust/Agency</t>
  </si>
  <si>
    <t>001-175-5400-000-000-0</t>
  </si>
  <si>
    <t>Training/Meetings</t>
  </si>
  <si>
    <t>Administrative Assessor</t>
  </si>
  <si>
    <t>Clerical (site visits)</t>
  </si>
  <si>
    <t>001-141-5400-000-211-0</t>
  </si>
  <si>
    <t>Mileage**</t>
  </si>
  <si>
    <t>**we need to add this line in for FY23</t>
  </si>
  <si>
    <t>610 - Library</t>
  </si>
  <si>
    <t>001-610-5400-000-0</t>
  </si>
  <si>
    <t>Mowing</t>
  </si>
  <si>
    <t>001-145-5100-000-110-0</t>
  </si>
  <si>
    <t>Treasurer/Collector</t>
  </si>
  <si>
    <t>001-145-5100-000-116-0</t>
  </si>
  <si>
    <t>Treasurer/Collector training</t>
  </si>
  <si>
    <t>001-145-5100-000-111-0</t>
  </si>
  <si>
    <t>Asst Treasurer/Collecor</t>
  </si>
  <si>
    <t>001-433-5400-000-322-0</t>
  </si>
  <si>
    <t xml:space="preserve">001-433-5400-000-340-0 </t>
  </si>
  <si>
    <t xml:space="preserve">001-433-5400-000-380-0 </t>
  </si>
  <si>
    <t xml:space="preserve">001-433-5400-000-400-0 </t>
  </si>
  <si>
    <t xml:space="preserve">001-433-5400-000-403-0 </t>
  </si>
  <si>
    <t xml:space="preserve">001-433-5400-000-405-0 </t>
  </si>
  <si>
    <t xml:space="preserve">001-433-5400-000-404-0 </t>
  </si>
  <si>
    <t xml:space="preserve">001-433-5400-000-502-0 </t>
  </si>
  <si>
    <t>Town Administrator</t>
  </si>
  <si>
    <t>Assistant</t>
  </si>
  <si>
    <t>Hourly (Asst to Boards)</t>
  </si>
  <si>
    <t>Prof/Tech Serv</t>
  </si>
  <si>
    <t>Copier</t>
  </si>
  <si>
    <t>TOWN AUDITS</t>
  </si>
  <si>
    <t>TREASURER-COLLECTOR</t>
  </si>
  <si>
    <t>LEGAL</t>
  </si>
  <si>
    <t>PERSONNEL COMMITTEE</t>
  </si>
  <si>
    <t>BUILDING MAINTENANCE</t>
  </si>
  <si>
    <t>TOWN INSURANCE</t>
  </si>
  <si>
    <t>POLICE</t>
  </si>
  <si>
    <t>FIRE</t>
  </si>
  <si>
    <t>AMBULANCE</t>
  </si>
  <si>
    <t>HIGHWAY</t>
  </si>
  <si>
    <t>DEBT SERVICE</t>
  </si>
  <si>
    <t>SHORT TERM INTEREST</t>
  </si>
  <si>
    <t>EMPLOYEE COSTS</t>
  </si>
  <si>
    <t>GRAM SCH OPERATING</t>
  </si>
  <si>
    <t>300A</t>
  </si>
  <si>
    <t>GRAM SCH TRANSPORT</t>
  </si>
  <si>
    <t>300B</t>
  </si>
  <si>
    <t>FRONTIER REG OPERATING</t>
  </si>
  <si>
    <t>FRONTIER TRANSPORTATION</t>
  </si>
  <si>
    <t>Short Term Interest on notes</t>
  </si>
  <si>
    <t>001-752-5400-000-000-0</t>
  </si>
  <si>
    <t>Interest payments (i.e. tax refund)</t>
  </si>
  <si>
    <t>Salary &amp; Wages</t>
  </si>
  <si>
    <t>001-150-5100-000-110-0</t>
  </si>
  <si>
    <t>* this includes the $6,000 from lines 240 and 430 in the old BOH budget; and electricity, as well as the new highway garage</t>
  </si>
  <si>
    <t>001-231-5100-000-111-0</t>
  </si>
  <si>
    <t>001-231-5100-000-112-0</t>
  </si>
  <si>
    <t>Assistant Dir. stipend*</t>
  </si>
  <si>
    <t>Dir. Stipend paid as salary*</t>
  </si>
  <si>
    <t>Hourly Employee (6 EMTs)</t>
  </si>
  <si>
    <t>Conway Grammar School</t>
  </si>
  <si>
    <t>Transportation</t>
  </si>
  <si>
    <t>320A</t>
  </si>
  <si>
    <t>320B</t>
  </si>
  <si>
    <t>Frontier Regional School</t>
  </si>
  <si>
    <t>310A</t>
  </si>
  <si>
    <t>310B</t>
  </si>
  <si>
    <t xml:space="preserve">001-433-5400-000-408-0 </t>
  </si>
  <si>
    <t xml:space="preserve">001-433-5400-000-290-0 </t>
  </si>
  <si>
    <t xml:space="preserve">001-433-5400-000-401-0 </t>
  </si>
  <si>
    <t xml:space="preserve">001-433-5400-000-402-0 </t>
  </si>
  <si>
    <t xml:space="preserve">001-433-5400-000-406-0 </t>
  </si>
  <si>
    <t>DEPT #</t>
  </si>
  <si>
    <t>DEPARTMENT NAME</t>
  </si>
  <si>
    <t>TOWN NEWSLETTER</t>
  </si>
  <si>
    <t>REGISTRARS</t>
  </si>
  <si>
    <t>OPEN SPACE</t>
  </si>
  <si>
    <t xml:space="preserve"> Lic/ Exam</t>
  </si>
  <si>
    <t>Minus $25K in Art 2</t>
  </si>
  <si>
    <t>ANIMAL CONTROL OFFICER</t>
  </si>
  <si>
    <t>DEBT SERVICE INTEREST</t>
  </si>
  <si>
    <t>TRANSFER STATION WAGES</t>
  </si>
  <si>
    <t>B.</t>
  </si>
  <si>
    <t>C.</t>
  </si>
  <si>
    <t>D.</t>
  </si>
  <si>
    <t>GRAND TOTAL for Operating Budget:</t>
  </si>
  <si>
    <t>310C</t>
  </si>
  <si>
    <t>FRONTIER CAPITAL ASSESSMENT</t>
  </si>
  <si>
    <t>FRANKLIN COUNTY TECHNICAL SCHOOL</t>
  </si>
  <si>
    <t>FCTS TRANSPORTATION</t>
  </si>
  <si>
    <t>FCTS CAPITAL ASSESSMENT</t>
  </si>
  <si>
    <t>OTHER TECHNICAL SCHOOLS</t>
  </si>
  <si>
    <t>OTHER TECH SCHOOLS TRANSPORTATION</t>
  </si>
  <si>
    <t>Capital Assessment</t>
  </si>
  <si>
    <t>Franklin County Technical School</t>
  </si>
  <si>
    <t>Other Technical Schools (Smith Vocational)</t>
  </si>
  <si>
    <t>635 - Forest &amp; Trails</t>
  </si>
  <si>
    <t>001-635-5400-000-000-0</t>
  </si>
  <si>
    <t>FOREST &amp; TRAILS</t>
  </si>
  <si>
    <t>320C</t>
  </si>
  <si>
    <t>total</t>
  </si>
  <si>
    <t>330A</t>
  </si>
  <si>
    <t>330B</t>
  </si>
  <si>
    <t>Assessments</t>
  </si>
  <si>
    <t>Accounting</t>
  </si>
  <si>
    <t>CP Health Services</t>
  </si>
  <si>
    <t>FCCInspection Program</t>
  </si>
  <si>
    <t>REPC</t>
  </si>
  <si>
    <t>Highway</t>
  </si>
  <si>
    <t>minus CPHS</t>
  </si>
  <si>
    <t>Reg &amp; stats</t>
  </si>
  <si>
    <t>CEMETERY</t>
  </si>
  <si>
    <t>SNOW &amp; ICE WAGES</t>
  </si>
  <si>
    <t>Bulky Waste hauling and tip fee</t>
  </si>
  <si>
    <t>Scrap Metal Hauling</t>
  </si>
  <si>
    <t>001-114-5100-112-000-0</t>
  </si>
  <si>
    <t>001-141-5100-000-112-0</t>
  </si>
  <si>
    <t>001-161-5100-000-111-0</t>
  </si>
  <si>
    <t>001-162-5100-000-112-0</t>
  </si>
  <si>
    <t>Fire Chief Stipend</t>
  </si>
  <si>
    <t>001-291-5400-000-112-0</t>
  </si>
  <si>
    <t>001-292-5100-000-112-0</t>
  </si>
  <si>
    <t>001-294-5100-000-112-0</t>
  </si>
  <si>
    <t>001-422-5100-000-111-0</t>
  </si>
  <si>
    <t xml:space="preserve">001-433-5100-000-111-0 </t>
  </si>
  <si>
    <t>POLICE WAGES</t>
  </si>
  <si>
    <t>FIRE WAGES</t>
  </si>
  <si>
    <t>ASSESSORS WAGES</t>
  </si>
  <si>
    <t>TREASURER-COLLECTOR WAGES</t>
  </si>
  <si>
    <t>TOWN ADMINISTRATION WAGES</t>
  </si>
  <si>
    <t>TOWN CLERK WAGES</t>
  </si>
  <si>
    <t>HIGHWAY WAGES</t>
  </si>
  <si>
    <t>BOARD OF HEALTH WAGES</t>
  </si>
  <si>
    <t>SPED</t>
  </si>
  <si>
    <t>3% inc.</t>
  </si>
  <si>
    <t>PARKS, RECREATION &amp; TRAILS</t>
  </si>
  <si>
    <t>FY22</t>
  </si>
  <si>
    <t>GRAND TOTAL FOR ALL SCHOOLS</t>
  </si>
  <si>
    <t>TOTAL FOR COMBINED TECH SCHOOLS</t>
  </si>
  <si>
    <t>INCREASE FROM LAST YEAR</t>
  </si>
  <si>
    <t>General Government</t>
  </si>
  <si>
    <t>Public Safety</t>
  </si>
  <si>
    <t>CGS</t>
  </si>
  <si>
    <t>Frontier</t>
  </si>
  <si>
    <t>Franklin Cty Tech</t>
  </si>
  <si>
    <t>Smith Vo-Tech</t>
  </si>
  <si>
    <t>Percentage Increase</t>
  </si>
  <si>
    <t>001-422-5100-000-117-0</t>
  </si>
  <si>
    <t>Part-Time or Temporary</t>
  </si>
  <si>
    <t>001-422-5400-000-339-0</t>
  </si>
  <si>
    <t>Rentals &amp; Equipment</t>
  </si>
  <si>
    <t>Materials</t>
  </si>
  <si>
    <t>001-422-5400-000-502-0</t>
  </si>
  <si>
    <t>001-423-5100-000-117-0</t>
  </si>
  <si>
    <t>Part time/Temporary</t>
  </si>
  <si>
    <t>001-192-5400-000-245-0</t>
  </si>
  <si>
    <t>001-192-5400-000-411-0</t>
  </si>
  <si>
    <t>Heating Fuel</t>
  </si>
  <si>
    <t>Propane</t>
  </si>
  <si>
    <t>001-122-5100-000-112-0</t>
  </si>
  <si>
    <t>001-122-5400-000-320-0</t>
  </si>
  <si>
    <t>001-122-5400-000-321-0</t>
  </si>
  <si>
    <t>001-150-5100-000-111-0</t>
  </si>
  <si>
    <t>001-150-5400-000-285-0</t>
  </si>
  <si>
    <t>001-150-5400-000-320-0</t>
  </si>
  <si>
    <t>001-150-5400-000-321-0</t>
  </si>
  <si>
    <t>001-150-5400-000-380-0</t>
  </si>
  <si>
    <t>001-150-5400-000-381-0</t>
  </si>
  <si>
    <t>001-150-5400-000-382-0</t>
  </si>
  <si>
    <t>001-150-5400-000-414-0</t>
  </si>
  <si>
    <t>752 - Short Term Interest</t>
  </si>
  <si>
    <t>Budget Request Sheet FY 2024</t>
  </si>
  <si>
    <t>FY24</t>
  </si>
  <si>
    <t>FY 2024</t>
  </si>
  <si>
    <t>FY2024</t>
  </si>
  <si>
    <t>balance as of 10/31/22</t>
  </si>
  <si>
    <t>invoice for Frontier 11.20.22</t>
  </si>
  <si>
    <t>remaining</t>
  </si>
  <si>
    <t>All hazards mitigation plan</t>
  </si>
  <si>
    <t>001-122-5874</t>
  </si>
  <si>
    <t>5499 prior year encumbrance</t>
  </si>
  <si>
    <t>5841 computer software</t>
  </si>
  <si>
    <t>5525 grant match account</t>
  </si>
  <si>
    <t>Budget Input Sheet FY 2024</t>
  </si>
  <si>
    <t>5816 archiving records</t>
  </si>
  <si>
    <t>5890 Compensated Absences Fund</t>
  </si>
  <si>
    <t>5827 Town Hall Lift Design</t>
  </si>
  <si>
    <t>5852 radios ATM 6/20/20</t>
  </si>
  <si>
    <t>5852 Radios ATM</t>
  </si>
  <si>
    <t>Radios ATM</t>
  </si>
  <si>
    <t>Budget Input Sheet FY24</t>
  </si>
  <si>
    <t>town garage</t>
  </si>
  <si>
    <t>delabarre</t>
  </si>
  <si>
    <t>highway cold storage</t>
  </si>
  <si>
    <t>highway mtn bldg</t>
  </si>
  <si>
    <t>5828 compactor ATM</t>
  </si>
  <si>
    <r>
      <t xml:space="preserve">* </t>
    </r>
    <r>
      <rPr>
        <i/>
        <sz val="11"/>
        <color theme="1"/>
        <rFont val="Times New Roman"/>
        <family val="1"/>
      </rPr>
      <t>new in FY 2021</t>
    </r>
  </si>
  <si>
    <t>Expended*</t>
  </si>
  <si>
    <t>5863 town field</t>
  </si>
  <si>
    <t>Budget Request Sheet FY 20234</t>
  </si>
  <si>
    <t>Expended***</t>
  </si>
  <si>
    <t>FY23 – 24 CHANGE</t>
  </si>
  <si>
    <t>FY 23-24</t>
  </si>
  <si>
    <t xml:space="preserve">FY 2023 </t>
  </si>
  <si>
    <t>751 - Debt Service Interest</t>
  </si>
  <si>
    <t>001-175-5100-000-112-0</t>
  </si>
  <si>
    <t>* add in line for trainings for FY24</t>
  </si>
  <si>
    <t>001-176-5400-000-312-0</t>
  </si>
  <si>
    <t>Training (add in for FY24)</t>
  </si>
  <si>
    <t>Request</t>
  </si>
  <si>
    <t>* as of 12/31/22</t>
  </si>
  <si>
    <t>EOY town audit</t>
  </si>
  <si>
    <t>Just done for FY22</t>
  </si>
  <si>
    <t>Just done in FY23</t>
  </si>
  <si>
    <t>001-171-5400-000-421</t>
  </si>
  <si>
    <t>Other Supplies*</t>
  </si>
  <si>
    <t>Plants, signs, etc</t>
  </si>
  <si>
    <t>*as of December 31, 2022</t>
  </si>
  <si>
    <t>Budget Request Sheet FY 2023</t>
  </si>
  <si>
    <t>001-171-5100-111-0</t>
  </si>
  <si>
    <t>Stipend?</t>
  </si>
  <si>
    <t>* three new members need training</t>
  </si>
  <si>
    <t>Training*</t>
  </si>
  <si>
    <t>Stipends*</t>
  </si>
  <si>
    <t>assumes a 3% raise on the $5,150 FY23 assessment</t>
  </si>
  <si>
    <t>Stipend (now contract)</t>
  </si>
  <si>
    <t>001-294-5400-000-381-0</t>
  </si>
  <si>
    <t xml:space="preserve">the Trustees agreed that  $2,845.00 is the amount to put on the warrant for this years FY2024 report.  This is last year’s amount of $2775.00 times 1.025% </t>
  </si>
  <si>
    <t xml:space="preserve">which insures we will be in compliance in the municipal appropriation category for our FY2024 State Aid to Public Library report that we file every October often </t>
  </si>
  <si>
    <t>referred to as ARIS (Annual Report Information Survey).</t>
  </si>
  <si>
    <t>* as of December 31, 2022</t>
  </si>
  <si>
    <t>% change</t>
  </si>
  <si>
    <t>TOTAL CGS</t>
  </si>
  <si>
    <t>TOTAL FRONTIER</t>
  </si>
  <si>
    <t>TOTAL FRANKLIN TECH</t>
  </si>
  <si>
    <t>TOTAL OTHER TECH</t>
  </si>
  <si>
    <r>
      <t xml:space="preserve">FRCOG </t>
    </r>
    <r>
      <rPr>
        <sz val="10"/>
        <color theme="1"/>
        <rFont val="Times New Roman"/>
        <family val="1"/>
      </rPr>
      <t>(Town Nurse under Board of Health)</t>
    </r>
  </si>
  <si>
    <t>* As of  December 31,2022</t>
  </si>
  <si>
    <t>New trainee</t>
  </si>
  <si>
    <t>We are at the end of a 6 year schedule, with every other year audits costing $15,000 each. I have requested quotes</t>
  </si>
  <si>
    <t>from two companies but have not received them; the current vendor wishes to wait until the FY22 audit is complete</t>
  </si>
  <si>
    <t>before giving a quote.</t>
  </si>
  <si>
    <t>DESE  EOY</t>
  </si>
  <si>
    <t>* clerical equals 52 hours annually @ $20/hr.  Plan to add to 150 budget with asst to boards &amp; committees</t>
  </si>
  <si>
    <t>Clerical*</t>
  </si>
  <si>
    <t>mostly for mowing meadow trail</t>
  </si>
  <si>
    <t>630 - Parks &amp; Recreation</t>
  </si>
  <si>
    <t>*now includes FD</t>
  </si>
  <si>
    <t>Maintenance*</t>
  </si>
  <si>
    <t>001-161-5400-000-440-0</t>
  </si>
  <si>
    <t>Postage *</t>
  </si>
  <si>
    <t>001-163-5400-000-440-0</t>
  </si>
  <si>
    <t>Software Support**</t>
  </si>
  <si>
    <t>*Increased postage due to new Vote-by-Mail requirement</t>
  </si>
  <si>
    <t>**Programming fees for AutoMark (required), ImageCast and Poll Pads</t>
  </si>
  <si>
    <t>5385 Capital expenses</t>
  </si>
  <si>
    <t>Hrly Emp TSA **</t>
  </si>
  <si>
    <t>*** as of 1/31/23</t>
  </si>
  <si>
    <t>Therefore an additional $2,200 has been added in as 'padding'.</t>
  </si>
  <si>
    <t>001-410-5920-000-000-0</t>
  </si>
  <si>
    <t>Paving Note</t>
  </si>
  <si>
    <t>Paving Note interest</t>
  </si>
  <si>
    <t>Flags*</t>
  </si>
  <si>
    <t>*this includes both cemetery memorial &amp; street flags</t>
  </si>
  <si>
    <t>$300 for memorial; $500 for street</t>
  </si>
  <si>
    <t>001-512-5100-000-113-0</t>
  </si>
  <si>
    <t>001-512-5400-000-000-0</t>
  </si>
  <si>
    <t>Advertising*</t>
  </si>
  <si>
    <t>* increased due to the need for public hearings</t>
  </si>
  <si>
    <t>Budget**</t>
  </si>
  <si>
    <t>** Reserve fund transfer of $500 for increased Comcast expenses</t>
  </si>
  <si>
    <t>*** expended as of 1/31/23</t>
  </si>
  <si>
    <t>* as of 1/31/22</t>
  </si>
  <si>
    <t>Fire Truck Note</t>
  </si>
  <si>
    <t>**Highway note: FY23 was $13,867 from free cash; FY24 is $12,811 free cash</t>
  </si>
  <si>
    <t xml:space="preserve">*Payment of $65,270 needed from free cash June 2023 ($60,000 principal + $5,270 interest)
</t>
  </si>
  <si>
    <t xml:space="preserve"> Paving note is for three years, this year is a double payment budgeted (FY23 &amp; 24 combined)</t>
  </si>
  <si>
    <t>*FY23 paving note interest is $5,270</t>
  </si>
  <si>
    <t>2% COLA</t>
  </si>
  <si>
    <t>2.5% COLA</t>
  </si>
  <si>
    <t>3% COLA</t>
  </si>
  <si>
    <t>Difference</t>
  </si>
  <si>
    <t>plus benefits</t>
  </si>
  <si>
    <t>Transfer Station</t>
  </si>
  <si>
    <t>* a suggestion of an $1,800 stipend per member was removed due to budget concerns but is still desired.</t>
  </si>
  <si>
    <t>A#</t>
  </si>
  <si>
    <t>II. Amounts to be Raised</t>
  </si>
  <si>
    <t>IIa. Town Meeting Appropriations</t>
  </si>
  <si>
    <t>General Fund Budget</t>
  </si>
  <si>
    <t>R&amp;A</t>
  </si>
  <si>
    <t>Grammar School</t>
  </si>
  <si>
    <t>Frontier Regional</t>
  </si>
  <si>
    <t>Other Tech Schools</t>
  </si>
  <si>
    <t>Tolal General Fund</t>
  </si>
  <si>
    <t>Warrant Articles</t>
  </si>
  <si>
    <t>IIb. Other Amounts to be Raised</t>
  </si>
  <si>
    <t>Cherry Sheet Offsets School Choice Receiving Tuition</t>
  </si>
  <si>
    <t>Estimate</t>
  </si>
  <si>
    <t>Cherry Sheet Assessment/Charges</t>
  </si>
  <si>
    <t>Overlay / abatements</t>
  </si>
  <si>
    <t>Total Amts to be Raised</t>
  </si>
  <si>
    <t>Free Cash Running Balance</t>
  </si>
  <si>
    <t>III. Revenue Sources</t>
  </si>
  <si>
    <t>Cherry Sheet Estimated Receipts</t>
  </si>
  <si>
    <t>Local receipts</t>
  </si>
  <si>
    <t>Ending Balance</t>
  </si>
  <si>
    <t>Total Amts to be Non R&amp;A Revenue</t>
  </si>
  <si>
    <t>Recap Check</t>
  </si>
  <si>
    <t>Total Amount to be Raised</t>
  </si>
  <si>
    <t>Total Estimated Receipts &amp; Other Rev Sources</t>
  </si>
  <si>
    <t>Tax Levy</t>
  </si>
  <si>
    <t>Maximum Tax Levy</t>
  </si>
  <si>
    <t>Excess Levy Capacity</t>
  </si>
  <si>
    <t>increase from FY23</t>
  </si>
  <si>
    <t>** this department is unique in that when someone calls in sick there still has to be coverage, so two people are paid for the same day</t>
  </si>
  <si>
    <t>Line 380, contracted services has been the fund still to be explored. I intend to reduce it each year as I discover whether or not these services</t>
  </si>
  <si>
    <t>comcast costs $8,700 annually</t>
  </si>
  <si>
    <t>crypto</t>
  </si>
  <si>
    <t>0ther security</t>
  </si>
  <si>
    <t>compliance reporting</t>
  </si>
  <si>
    <t>website</t>
  </si>
  <si>
    <t>cloud backups</t>
  </si>
  <si>
    <t>FY24*</t>
  </si>
  <si>
    <t>*not final numbers</t>
  </si>
  <si>
    <t>Request *</t>
  </si>
  <si>
    <t>001-630-5100-000-112-0</t>
  </si>
  <si>
    <t>Stipend (youth sports)</t>
  </si>
  <si>
    <t>* as of 1/31/23</t>
  </si>
  <si>
    <t>FY 2023**</t>
  </si>
  <si>
    <t>** as of 1/31/23</t>
  </si>
  <si>
    <t>2024*</t>
  </si>
  <si>
    <t>$10,000 boom lift</t>
  </si>
  <si>
    <t>$18,000 chipper</t>
  </si>
  <si>
    <t>$4,500 extra/reserve</t>
  </si>
  <si>
    <t>$6,500 grader (this quote has gone up to $7,500 in the last month)</t>
  </si>
  <si>
    <t>* 5% increase estimate; as of 2.23.23 don't know how many students, based on one.</t>
  </si>
  <si>
    <t>6/4/22 was</t>
  </si>
  <si>
    <t>shelburne falls paving note</t>
  </si>
  <si>
    <t>ambulance</t>
  </si>
  <si>
    <t>ambulance receipts</t>
  </si>
  <si>
    <t>Fire truck</t>
  </si>
  <si>
    <t>Notes</t>
  </si>
  <si>
    <t>was last increased in FY2019, 5 years ago</t>
  </si>
  <si>
    <t>total improved props</t>
  </si>
  <si>
    <t>$24.97 * 30 hr* 52 wk</t>
  </si>
  <si>
    <t>props /yr for 8 yrs</t>
  </si>
  <si>
    <t>trips @ 20 miles/trip</t>
  </si>
  <si>
    <t>$15*8 hr*15 visits</t>
  </si>
  <si>
    <t>miles for cyclical visits/yr</t>
  </si>
  <si>
    <t>rate increased to $0.655 for CY2023, 80 miles for New Growth visits, 300 miles for cyclical visits, 50 miles for conference, 100 misc miles</t>
  </si>
  <si>
    <t>map maintenance $2,100, 20 add'l/changed bldgs @ $20</t>
  </si>
  <si>
    <t>AxisGIS &amp; modules $4,000, ESRI $440</t>
  </si>
  <si>
    <t>we are charged for paper surveys only</t>
  </si>
  <si>
    <t>Jan. mailing 40, Chapters 580, abatements, etc 80, 100 misc pieces of mail</t>
  </si>
  <si>
    <t>MAAO $225, FCAA $50, IAAO ??</t>
  </si>
  <si>
    <t>IAAO Fundamentals of Residential Valuation $???, textbook $50 or UMass week-long course</t>
  </si>
  <si>
    <t xml:space="preserve">$616 for set of toners for HP copier, $42 for 100 envelopes </t>
  </si>
  <si>
    <t>$535 for ann'l maintenance contract for Kyocera copier</t>
  </si>
  <si>
    <t>Tyler Valuations $4,061, $1,000 Marshall &amp; Swift Valuations</t>
  </si>
  <si>
    <t>OPEB</t>
  </si>
  <si>
    <t>Partial Debt - Hwy Garage</t>
  </si>
  <si>
    <t>Free cash</t>
  </si>
  <si>
    <t>Compensated absences fund</t>
  </si>
  <si>
    <t>Recertification of property values</t>
  </si>
  <si>
    <t>Replenish Grant Match</t>
  </si>
  <si>
    <t>Field Library</t>
  </si>
  <si>
    <t>FY 22 to 23:</t>
  </si>
  <si>
    <t>Stage curtain CGS</t>
  </si>
  <si>
    <t>total COLA</t>
  </si>
  <si>
    <t>TOTAL GF</t>
  </si>
  <si>
    <t>balance as of 2/28/23</t>
  </si>
  <si>
    <t>CPA funds</t>
  </si>
  <si>
    <t>MVP grant match</t>
  </si>
  <si>
    <t xml:space="preserve">GZA consulting fees, Delabarre Avenue </t>
  </si>
  <si>
    <t>the $20,281 may be reduced by the amount of $16,463 if CPA funds are used.</t>
  </si>
  <si>
    <t>capital</t>
  </si>
  <si>
    <t>borrowing</t>
  </si>
  <si>
    <t>(tennis courst)</t>
  </si>
  <si>
    <t>(track int. payment)</t>
  </si>
  <si>
    <t>equals raise to $15/hr for regular TSAs.</t>
  </si>
  <si>
    <t>Jeff</t>
  </si>
  <si>
    <t>3 TSAs</t>
  </si>
  <si>
    <t xml:space="preserve">bi-weekly </t>
  </si>
  <si>
    <t>32 hours @ 17.34</t>
  </si>
  <si>
    <t>annual</t>
  </si>
  <si>
    <t>sick time</t>
  </si>
  <si>
    <t>72 hours @ 15.00</t>
  </si>
  <si>
    <t>rounded up for buffer in sick time.</t>
  </si>
  <si>
    <t xml:space="preserve">are covered by another line. This year I reduced it by $8,000. I also reduced HHW by $3,000 given past expenditures. </t>
  </si>
  <si>
    <t>The increase is due to the cost for sending our recyclables to the MRF. If that $15,000 had been included last year, then this year's budget would actually be level funded</t>
  </si>
  <si>
    <t>(2% cola already included)</t>
  </si>
  <si>
    <t>Public Safety Building</t>
  </si>
  <si>
    <t>Highway Maintenance account</t>
  </si>
  <si>
    <t>Sale of Real Estate SRF</t>
  </si>
  <si>
    <t>Boom Lift</t>
  </si>
  <si>
    <t>Chipper &amp; Box</t>
  </si>
  <si>
    <t>Compact Loader</t>
  </si>
  <si>
    <t>Capital Stabilization</t>
  </si>
  <si>
    <t>Assessors conversion costs</t>
  </si>
  <si>
    <t>Overlay</t>
  </si>
  <si>
    <t>FY24 Budget</t>
  </si>
  <si>
    <t>A.</t>
  </si>
  <si>
    <t>E.</t>
  </si>
  <si>
    <t>FY 23 to 24:</t>
  </si>
  <si>
    <t>$18.03 * 10 hr * 52 wk</t>
  </si>
  <si>
    <t>on warrant</t>
  </si>
  <si>
    <t>VOIP Phone</t>
  </si>
  <si>
    <t>microsoft Office 365</t>
  </si>
  <si>
    <t>THIS INCLUDES A 2% COLA</t>
  </si>
  <si>
    <t>Plow Truck</t>
  </si>
  <si>
    <t>29 B</t>
  </si>
  <si>
    <t>2A</t>
  </si>
  <si>
    <t>2B</t>
  </si>
  <si>
    <t>2C</t>
  </si>
  <si>
    <t>2D</t>
  </si>
  <si>
    <t>2E</t>
  </si>
  <si>
    <t>29A</t>
  </si>
  <si>
    <t>Tennis courts, Frontier</t>
  </si>
  <si>
    <t>2023.05.18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</si>
</sst>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"/>
    <numFmt numFmtId="166" formatCode="&quot;$&quot;#,##0.00"/>
    <numFmt numFmtId="167" formatCode="_(* #,##0_);_(* \(#,##0\);_(* &quot;-&quot;??_);_(@_)"/>
    <numFmt numFmtId="168" formatCode="0.0%"/>
    <numFmt numFmtId="169" formatCode="\$#,##0"/>
    <numFmt numFmtId="170" formatCode="[$$-409]#,##0;[Red]\-[$$-409]#,##0"/>
    <numFmt numFmtId="171" formatCode="_(&quot;$&quot;* #,##0_);_(&quot;$&quot;* \(#,##0\);_(&quot;$&quot;* &quot;-&quot;??_);_(@_)"/>
    <numFmt numFmtId="172" formatCode="mm/dd/yy;@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name val="Times New Roman"/>
      <family val="1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70C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color theme="9" tint="-0.499984740745262"/>
      <name val="Times New Roman"/>
      <family val="1"/>
    </font>
    <font>
      <sz val="12"/>
      <name val="Times New Roman"/>
      <family val="1"/>
    </font>
    <font>
      <b/>
      <sz val="12"/>
      <color rgb="FF0843B8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i/>
      <sz val="11"/>
      <color theme="1"/>
      <name val="Times New Roman"/>
      <family val="1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F497D"/>
      <name val="Times New Roman"/>
      <family val="1"/>
    </font>
    <font>
      <i/>
      <sz val="11"/>
      <color rgb="FFFFFFFF"/>
      <name val="Times New Roman"/>
      <family val="1"/>
    </font>
    <font>
      <i/>
      <sz val="11"/>
      <color theme="1"/>
      <name val="Calibri"/>
      <family val="2"/>
    </font>
    <font>
      <i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u/>
      <sz val="11"/>
      <color rgb="FF000000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u/>
      <sz val="12"/>
      <name val="Times New Roman"/>
      <family val="1"/>
    </font>
    <font>
      <b/>
      <sz val="11"/>
      <color rgb="FFC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FFF2CC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5" tint="0.79998168889431442"/>
        <bgColor rgb="FFFBE5D6"/>
      </patternFill>
    </fill>
    <fill>
      <patternFill patternType="solid">
        <fgColor theme="9" tint="0.79998168889431442"/>
        <bgColor rgb="FFFBE5D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63">
    <xf numFmtId="0" fontId="0" fillId="0" borderId="0" xfId="0"/>
    <xf numFmtId="0" fontId="3" fillId="0" borderId="0" xfId="0" applyFont="1"/>
    <xf numFmtId="0" fontId="4" fillId="0" borderId="1" xfId="0" applyFont="1" applyBorder="1"/>
    <xf numFmtId="0" fontId="1" fillId="0" borderId="0" xfId="0" applyFont="1"/>
    <xf numFmtId="0" fontId="3" fillId="0" borderId="1" xfId="0" applyFont="1" applyBorder="1"/>
    <xf numFmtId="0" fontId="5" fillId="0" borderId="1" xfId="0" applyFont="1" applyBorder="1"/>
    <xf numFmtId="0" fontId="4" fillId="0" borderId="4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4" xfId="0" applyFont="1" applyBorder="1"/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/>
    <xf numFmtId="3" fontId="3" fillId="0" borderId="4" xfId="0" applyNumberFormat="1" applyFont="1" applyBorder="1"/>
    <xf numFmtId="0" fontId="3" fillId="0" borderId="14" xfId="0" applyFont="1" applyBorder="1"/>
    <xf numFmtId="0" fontId="2" fillId="0" borderId="4" xfId="0" applyFont="1" applyBorder="1"/>
    <xf numFmtId="164" fontId="6" fillId="0" borderId="0" xfId="0" applyNumberFormat="1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2" fillId="0" borderId="12" xfId="0" applyFont="1" applyBorder="1" applyAlignment="1">
      <alignment wrapText="1"/>
    </xf>
    <xf numFmtId="0" fontId="3" fillId="0" borderId="12" xfId="0" applyFont="1" applyBorder="1"/>
    <xf numFmtId="0" fontId="3" fillId="0" borderId="1" xfId="0" applyFont="1" applyBorder="1" applyAlignment="1">
      <alignment horizontal="center"/>
    </xf>
    <xf numFmtId="0" fontId="9" fillId="0" borderId="0" xfId="0" applyFont="1"/>
    <xf numFmtId="0" fontId="2" fillId="0" borderId="12" xfId="0" applyFont="1" applyBorder="1"/>
    <xf numFmtId="0" fontId="10" fillId="0" borderId="0" xfId="0" applyFont="1"/>
    <xf numFmtId="0" fontId="10" fillId="0" borderId="17" xfId="0" applyFont="1" applyBorder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9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3" fontId="2" fillId="0" borderId="0" xfId="0" applyNumberFormat="1" applyFont="1"/>
    <xf numFmtId="4" fontId="3" fillId="0" borderId="0" xfId="0" applyNumberFormat="1" applyFont="1"/>
    <xf numFmtId="4" fontId="12" fillId="0" borderId="0" xfId="0" applyNumberFormat="1" applyFont="1"/>
    <xf numFmtId="0" fontId="2" fillId="2" borderId="0" xfId="0" applyFont="1" applyFill="1" applyAlignment="1">
      <alignment horizontal="center"/>
    </xf>
    <xf numFmtId="3" fontId="11" fillId="0" borderId="0" xfId="0" applyNumberFormat="1" applyFont="1"/>
    <xf numFmtId="3" fontId="15" fillId="0" borderId="0" xfId="0" applyNumberFormat="1" applyFont="1"/>
    <xf numFmtId="0" fontId="11" fillId="0" borderId="0" xfId="0" applyFont="1"/>
    <xf numFmtId="4" fontId="2" fillId="0" borderId="0" xfId="0" applyNumberFormat="1" applyFont="1"/>
    <xf numFmtId="4" fontId="3" fillId="0" borderId="0" xfId="0" applyNumberFormat="1" applyFont="1" applyAlignment="1">
      <alignment horizontal="center"/>
    </xf>
    <xf numFmtId="4" fontId="7" fillId="0" borderId="0" xfId="0" applyNumberFormat="1" applyFont="1"/>
    <xf numFmtId="4" fontId="3" fillId="0" borderId="0" xfId="0" quotePrefix="1" applyNumberFormat="1" applyFont="1" applyAlignment="1">
      <alignment horizontal="center"/>
    </xf>
    <xf numFmtId="0" fontId="0" fillId="0" borderId="1" xfId="0" applyBorder="1"/>
    <xf numFmtId="166" fontId="0" fillId="0" borderId="0" xfId="1" applyNumberFormat="1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165" fontId="3" fillId="0" borderId="1" xfId="0" applyNumberFormat="1" applyFont="1" applyBorder="1"/>
    <xf numFmtId="0" fontId="18" fillId="0" borderId="0" xfId="0" applyFont="1"/>
    <xf numFmtId="14" fontId="19" fillId="0" borderId="0" xfId="0" applyNumberFormat="1" applyFont="1"/>
    <xf numFmtId="0" fontId="3" fillId="2" borderId="1" xfId="0" applyFont="1" applyFill="1" applyBorder="1"/>
    <xf numFmtId="0" fontId="3" fillId="2" borderId="0" xfId="0" applyFont="1" applyFill="1"/>
    <xf numFmtId="165" fontId="2" fillId="2" borderId="0" xfId="0" applyNumberFormat="1" applyFont="1" applyFill="1" applyAlignment="1">
      <alignment horizontal="right"/>
    </xf>
    <xf numFmtId="0" fontId="2" fillId="0" borderId="14" xfId="0" applyFont="1" applyBorder="1"/>
    <xf numFmtId="166" fontId="2" fillId="0" borderId="0" xfId="0" applyNumberFormat="1" applyFont="1" applyAlignment="1">
      <alignment horizontal="center"/>
    </xf>
    <xf numFmtId="166" fontId="3" fillId="0" borderId="0" xfId="0" applyNumberFormat="1" applyFont="1"/>
    <xf numFmtId="166" fontId="11" fillId="0" borderId="0" xfId="0" applyNumberFormat="1" applyFont="1"/>
    <xf numFmtId="166" fontId="13" fillId="0" borderId="0" xfId="0" applyNumberFormat="1" applyFont="1"/>
    <xf numFmtId="0" fontId="6" fillId="0" borderId="0" xfId="0" applyFont="1"/>
    <xf numFmtId="0" fontId="19" fillId="0" borderId="0" xfId="0" applyFont="1"/>
    <xf numFmtId="0" fontId="4" fillId="0" borderId="1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8" xfId="0" applyFont="1" applyBorder="1"/>
    <xf numFmtId="0" fontId="0" fillId="0" borderId="18" xfId="0" applyBorder="1"/>
    <xf numFmtId="0" fontId="2" fillId="0" borderId="0" xfId="0" applyFont="1" applyAlignment="1">
      <alignment wrapText="1"/>
    </xf>
    <xf numFmtId="167" fontId="3" fillId="0" borderId="0" xfId="2" applyNumberFormat="1" applyFont="1" applyBorder="1"/>
    <xf numFmtId="0" fontId="14" fillId="0" borderId="0" xfId="0" applyFont="1" applyAlignment="1">
      <alignment horizontal="right"/>
    </xf>
    <xf numFmtId="0" fontId="5" fillId="0" borderId="1" xfId="0" applyFont="1" applyBorder="1" applyAlignment="1">
      <alignment wrapText="1"/>
    </xf>
    <xf numFmtId="165" fontId="2" fillId="0" borderId="1" xfId="0" applyNumberFormat="1" applyFont="1" applyBorder="1"/>
    <xf numFmtId="14" fontId="6" fillId="0" borderId="0" xfId="0" applyNumberFormat="1" applyFont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65" fontId="2" fillId="3" borderId="1" xfId="0" applyNumberFormat="1" applyFont="1" applyFill="1" applyBorder="1"/>
    <xf numFmtId="165" fontId="3" fillId="3" borderId="1" xfId="0" applyNumberFormat="1" applyFont="1" applyFill="1" applyBorder="1"/>
    <xf numFmtId="165" fontId="0" fillId="3" borderId="1" xfId="0" applyNumberFormat="1" applyFill="1" applyBorder="1"/>
    <xf numFmtId="0" fontId="4" fillId="0" borderId="0" xfId="0" applyFont="1"/>
    <xf numFmtId="0" fontId="5" fillId="0" borderId="0" xfId="0" applyFont="1"/>
    <xf numFmtId="4" fontId="3" fillId="4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/>
    </xf>
    <xf numFmtId="165" fontId="8" fillId="4" borderId="1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/>
    <xf numFmtId="0" fontId="2" fillId="2" borderId="1" xfId="0" applyFont="1" applyFill="1" applyBorder="1"/>
    <xf numFmtId="165" fontId="2" fillId="4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4" borderId="1" xfId="0" applyNumberFormat="1" applyFont="1" applyFill="1" applyBorder="1"/>
    <xf numFmtId="165" fontId="17" fillId="4" borderId="1" xfId="0" applyNumberFormat="1" applyFont="1" applyFill="1" applyBorder="1" applyAlignment="1">
      <alignment horizontal="right" vertical="center"/>
    </xf>
    <xf numFmtId="165" fontId="17" fillId="3" borderId="1" xfId="0" applyNumberFormat="1" applyFont="1" applyFill="1" applyBorder="1" applyAlignment="1">
      <alignment horizontal="right" vertical="center"/>
    </xf>
    <xf numFmtId="165" fontId="17" fillId="3" borderId="1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5" fontId="3" fillId="4" borderId="5" xfId="0" applyNumberFormat="1" applyFont="1" applyFill="1" applyBorder="1"/>
    <xf numFmtId="165" fontId="3" fillId="3" borderId="5" xfId="0" applyNumberFormat="1" applyFont="1" applyFill="1" applyBorder="1"/>
    <xf numFmtId="4" fontId="3" fillId="3" borderId="10" xfId="0" applyNumberFormat="1" applyFont="1" applyFill="1" applyBorder="1" applyAlignment="1">
      <alignment horizontal="center"/>
    </xf>
    <xf numFmtId="165" fontId="3" fillId="3" borderId="13" xfId="0" applyNumberFormat="1" applyFont="1" applyFill="1" applyBorder="1"/>
    <xf numFmtId="165" fontId="3" fillId="3" borderId="14" xfId="0" applyNumberFormat="1" applyFont="1" applyFill="1" applyBorder="1"/>
    <xf numFmtId="165" fontId="3" fillId="3" borderId="15" xfId="0" applyNumberFormat="1" applyFont="1" applyFill="1" applyBorder="1"/>
    <xf numFmtId="165" fontId="3" fillId="3" borderId="7" xfId="0" applyNumberFormat="1" applyFont="1" applyFill="1" applyBorder="1"/>
    <xf numFmtId="4" fontId="3" fillId="3" borderId="1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165" fontId="3" fillId="4" borderId="13" xfId="0" applyNumberFormat="1" applyFont="1" applyFill="1" applyBorder="1"/>
    <xf numFmtId="4" fontId="3" fillId="4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/>
    <xf numFmtId="4" fontId="3" fillId="4" borderId="6" xfId="0" applyNumberFormat="1" applyFont="1" applyFill="1" applyBorder="1" applyAlignment="1">
      <alignment horizontal="center"/>
    </xf>
    <xf numFmtId="165" fontId="3" fillId="4" borderId="14" xfId="0" applyNumberFormat="1" applyFont="1" applyFill="1" applyBorder="1"/>
    <xf numFmtId="3" fontId="2" fillId="0" borderId="4" xfId="0" applyNumberFormat="1" applyFont="1" applyBorder="1"/>
    <xf numFmtId="165" fontId="2" fillId="4" borderId="4" xfId="0" applyNumberFormat="1" applyFont="1" applyFill="1" applyBorder="1"/>
    <xf numFmtId="165" fontId="2" fillId="3" borderId="7" xfId="0" applyNumberFormat="1" applyFont="1" applyFill="1" applyBorder="1"/>
    <xf numFmtId="165" fontId="2" fillId="4" borderId="5" xfId="0" applyNumberFormat="1" applyFont="1" applyFill="1" applyBorder="1"/>
    <xf numFmtId="165" fontId="2" fillId="3" borderId="5" xfId="0" applyNumberFormat="1" applyFont="1" applyFill="1" applyBorder="1"/>
    <xf numFmtId="0" fontId="3" fillId="4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right"/>
    </xf>
    <xf numFmtId="165" fontId="3" fillId="3" borderId="1" xfId="1" applyNumberFormat="1" applyFont="1" applyFill="1" applyBorder="1"/>
    <xf numFmtId="165" fontId="3" fillId="4" borderId="1" xfId="1" applyNumberFormat="1" applyFont="1" applyFill="1" applyBorder="1"/>
    <xf numFmtId="165" fontId="20" fillId="4" borderId="1" xfId="0" applyNumberFormat="1" applyFont="1" applyFill="1" applyBorder="1" applyAlignment="1">
      <alignment horizontal="right" vertical="center" wrapText="1"/>
    </xf>
    <xf numFmtId="165" fontId="17" fillId="4" borderId="1" xfId="0" applyNumberFormat="1" applyFont="1" applyFill="1" applyBorder="1" applyAlignment="1">
      <alignment horizontal="right" vertical="center" wrapText="1"/>
    </xf>
    <xf numFmtId="165" fontId="17" fillId="3" borderId="1" xfId="0" applyNumberFormat="1" applyFont="1" applyFill="1" applyBorder="1" applyAlignment="1">
      <alignment horizontal="right" vertical="center" wrapText="1"/>
    </xf>
    <xf numFmtId="165" fontId="2" fillId="0" borderId="3" xfId="1" applyNumberFormat="1" applyFont="1" applyBorder="1"/>
    <xf numFmtId="165" fontId="3" fillId="3" borderId="3" xfId="1" applyNumberFormat="1" applyFont="1" applyFill="1" applyBorder="1"/>
    <xf numFmtId="165" fontId="3" fillId="4" borderId="3" xfId="1" applyNumberFormat="1" applyFont="1" applyFill="1" applyBorder="1"/>
    <xf numFmtId="0" fontId="3" fillId="4" borderId="3" xfId="0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right"/>
    </xf>
    <xf numFmtId="165" fontId="2" fillId="4" borderId="4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right"/>
    </xf>
    <xf numFmtId="0" fontId="3" fillId="4" borderId="1" xfId="0" applyFont="1" applyFill="1" applyBorder="1"/>
    <xf numFmtId="165" fontId="3" fillId="4" borderId="1" xfId="2" applyNumberFormat="1" applyFont="1" applyFill="1" applyBorder="1"/>
    <xf numFmtId="165" fontId="2" fillId="4" borderId="1" xfId="2" applyNumberFormat="1" applyFont="1" applyFill="1" applyBorder="1"/>
    <xf numFmtId="0" fontId="3" fillId="3" borderId="1" xfId="0" applyFont="1" applyFill="1" applyBorder="1"/>
    <xf numFmtId="165" fontId="3" fillId="3" borderId="1" xfId="2" applyNumberFormat="1" applyFont="1" applyFill="1" applyBorder="1"/>
    <xf numFmtId="165" fontId="2" fillId="3" borderId="1" xfId="2" applyNumberFormat="1" applyFont="1" applyFill="1" applyBorder="1"/>
    <xf numFmtId="165" fontId="3" fillId="4" borderId="1" xfId="0" applyNumberFormat="1" applyFont="1" applyFill="1" applyBorder="1" applyAlignment="1">
      <alignment horizontal="right"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3" fillId="0" borderId="19" xfId="0" applyFont="1" applyBorder="1"/>
    <xf numFmtId="3" fontId="3" fillId="0" borderId="1" xfId="2" applyNumberFormat="1" applyFont="1" applyBorder="1"/>
    <xf numFmtId="3" fontId="3" fillId="0" borderId="1" xfId="2" applyNumberFormat="1" applyFont="1" applyFill="1" applyBorder="1"/>
    <xf numFmtId="3" fontId="2" fillId="0" borderId="1" xfId="2" applyNumberFormat="1" applyFont="1" applyBorder="1"/>
    <xf numFmtId="3" fontId="2" fillId="0" borderId="1" xfId="0" applyNumberFormat="1" applyFont="1" applyBorder="1"/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/>
    </xf>
    <xf numFmtId="165" fontId="3" fillId="0" borderId="1" xfId="2" applyNumberFormat="1" applyFont="1" applyBorder="1"/>
    <xf numFmtId="165" fontId="5" fillId="0" borderId="1" xfId="0" applyNumberFormat="1" applyFont="1" applyBorder="1" applyAlignment="1">
      <alignment wrapText="1"/>
    </xf>
    <xf numFmtId="165" fontId="2" fillId="3" borderId="1" xfId="0" applyNumberFormat="1" applyFont="1" applyFill="1" applyBorder="1" applyAlignment="1">
      <alignment horizontal="center"/>
    </xf>
    <xf numFmtId="165" fontId="3" fillId="3" borderId="1" xfId="2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165" fontId="0" fillId="0" borderId="0" xfId="0" applyNumberFormat="1"/>
    <xf numFmtId="165" fontId="3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19" xfId="0" applyFont="1" applyBorder="1"/>
    <xf numFmtId="165" fontId="0" fillId="4" borderId="1" xfId="0" applyNumberFormat="1" applyFill="1" applyBorder="1"/>
    <xf numFmtId="3" fontId="2" fillId="0" borderId="1" xfId="0" applyNumberFormat="1" applyFont="1" applyBorder="1" applyAlignment="1">
      <alignment horizontal="left"/>
    </xf>
    <xf numFmtId="0" fontId="3" fillId="4" borderId="17" xfId="0" applyFont="1" applyFill="1" applyBorder="1" applyAlignment="1">
      <alignment horizontal="center"/>
    </xf>
    <xf numFmtId="165" fontId="3" fillId="4" borderId="7" xfId="0" applyNumberFormat="1" applyFont="1" applyFill="1" applyBorder="1"/>
    <xf numFmtId="165" fontId="2" fillId="4" borderId="7" xfId="0" applyNumberFormat="1" applyFont="1" applyFill="1" applyBorder="1"/>
    <xf numFmtId="165" fontId="20" fillId="4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166" fontId="3" fillId="4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65" fontId="11" fillId="3" borderId="1" xfId="0" applyNumberFormat="1" applyFont="1" applyFill="1" applyBorder="1"/>
    <xf numFmtId="37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7" xfId="0" applyFont="1" applyBorder="1"/>
    <xf numFmtId="0" fontId="3" fillId="0" borderId="0" xfId="0" applyFont="1" applyAlignment="1">
      <alignment horizontal="left"/>
    </xf>
    <xf numFmtId="0" fontId="26" fillId="0" borderId="21" xfId="0" applyFont="1" applyBorder="1" applyAlignment="1">
      <alignment horizontal="center" vertical="center" wrapText="1"/>
    </xf>
    <xf numFmtId="165" fontId="0" fillId="0" borderId="1" xfId="1" applyNumberFormat="1" applyFont="1" applyBorder="1"/>
    <xf numFmtId="165" fontId="2" fillId="0" borderId="0" xfId="0" applyNumberFormat="1" applyFont="1"/>
    <xf numFmtId="0" fontId="26" fillId="0" borderId="29" xfId="0" applyFont="1" applyBorder="1" applyAlignment="1">
      <alignment horizontal="center" vertical="center" wrapText="1"/>
    </xf>
    <xf numFmtId="0" fontId="26" fillId="0" borderId="27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9" fillId="0" borderId="1" xfId="0" applyFont="1" applyBorder="1"/>
    <xf numFmtId="165" fontId="9" fillId="0" borderId="1" xfId="0" applyNumberFormat="1" applyFont="1" applyBorder="1"/>
    <xf numFmtId="0" fontId="3" fillId="0" borderId="20" xfId="0" applyFont="1" applyBorder="1"/>
    <xf numFmtId="0" fontId="3" fillId="0" borderId="24" xfId="0" applyFont="1" applyBorder="1"/>
    <xf numFmtId="165" fontId="3" fillId="0" borderId="24" xfId="0" applyNumberFormat="1" applyFont="1" applyBorder="1"/>
    <xf numFmtId="0" fontId="3" fillId="0" borderId="3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3" xfId="0" applyFont="1" applyBorder="1"/>
    <xf numFmtId="0" fontId="2" fillId="0" borderId="25" xfId="0" applyFont="1" applyBorder="1"/>
    <xf numFmtId="165" fontId="2" fillId="0" borderId="25" xfId="0" applyNumberFormat="1" applyFont="1" applyBorder="1"/>
    <xf numFmtId="168" fontId="2" fillId="0" borderId="22" xfId="3" applyNumberFormat="1" applyFont="1" applyBorder="1" applyAlignment="1">
      <alignment horizontal="center"/>
    </xf>
    <xf numFmtId="9" fontId="3" fillId="0" borderId="31" xfId="3" applyFont="1" applyBorder="1" applyAlignment="1">
      <alignment horizontal="center"/>
    </xf>
    <xf numFmtId="9" fontId="3" fillId="0" borderId="14" xfId="3" applyFont="1" applyBorder="1" applyAlignment="1">
      <alignment horizontal="center"/>
    </xf>
    <xf numFmtId="0" fontId="9" fillId="0" borderId="30" xfId="0" applyFont="1" applyBorder="1"/>
    <xf numFmtId="0" fontId="25" fillId="0" borderId="30" xfId="0" applyFont="1" applyBorder="1"/>
    <xf numFmtId="165" fontId="25" fillId="0" borderId="30" xfId="0" applyNumberFormat="1" applyFont="1" applyBorder="1"/>
    <xf numFmtId="10" fontId="25" fillId="0" borderId="30" xfId="3" applyNumberFormat="1" applyFont="1" applyBorder="1"/>
    <xf numFmtId="168" fontId="2" fillId="0" borderId="22" xfId="3" applyNumberFormat="1" applyFont="1" applyFill="1" applyBorder="1" applyAlignment="1">
      <alignment horizontal="center"/>
    </xf>
    <xf numFmtId="0" fontId="26" fillId="0" borderId="28" xfId="0" applyFont="1" applyBorder="1" applyAlignment="1">
      <alignment horizontal="center" vertical="center" wrapText="1"/>
    </xf>
    <xf numFmtId="171" fontId="3" fillId="0" borderId="0" xfId="1" applyNumberFormat="1" applyFont="1"/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2" fillId="4" borderId="3" xfId="0" applyNumberFormat="1" applyFont="1" applyFill="1" applyBorder="1"/>
    <xf numFmtId="165" fontId="2" fillId="4" borderId="1" xfId="1" applyNumberFormat="1" applyFont="1" applyFill="1" applyBorder="1"/>
    <xf numFmtId="165" fontId="20" fillId="3" borderId="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0" fillId="0" borderId="1" xfId="0" applyFont="1" applyBorder="1"/>
    <xf numFmtId="0" fontId="28" fillId="0" borderId="0" xfId="0" applyFont="1"/>
    <xf numFmtId="0" fontId="29" fillId="0" borderId="0" xfId="0" applyFont="1"/>
    <xf numFmtId="166" fontId="30" fillId="0" borderId="0" xfId="0" applyNumberFormat="1" applyFont="1"/>
    <xf numFmtId="166" fontId="0" fillId="0" borderId="0" xfId="0" applyNumberFormat="1"/>
    <xf numFmtId="0" fontId="3" fillId="3" borderId="12" xfId="0" applyFont="1" applyFill="1" applyBorder="1" applyAlignment="1">
      <alignment horizontal="center"/>
    </xf>
    <xf numFmtId="165" fontId="3" fillId="3" borderId="7" xfId="1" applyNumberFormat="1" applyFont="1" applyFill="1" applyBorder="1"/>
    <xf numFmtId="0" fontId="2" fillId="0" borderId="3" xfId="0" applyFont="1" applyBorder="1"/>
    <xf numFmtId="165" fontId="3" fillId="4" borderId="5" xfId="0" applyNumberFormat="1" applyFont="1" applyFill="1" applyBorder="1" applyAlignment="1">
      <alignment horizontal="right"/>
    </xf>
    <xf numFmtId="165" fontId="0" fillId="4" borderId="5" xfId="0" applyNumberFormat="1" applyFill="1" applyBorder="1"/>
    <xf numFmtId="165" fontId="2" fillId="4" borderId="5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6" fontId="1" fillId="0" borderId="0" xfId="0" applyNumberFormat="1" applyFont="1"/>
    <xf numFmtId="165" fontId="20" fillId="4" borderId="1" xfId="0" applyNumberFormat="1" applyFont="1" applyFill="1" applyBorder="1"/>
    <xf numFmtId="165" fontId="20" fillId="3" borderId="1" xfId="0" applyNumberFormat="1" applyFont="1" applyFill="1" applyBorder="1"/>
    <xf numFmtId="165" fontId="8" fillId="4" borderId="1" xfId="0" applyNumberFormat="1" applyFont="1" applyFill="1" applyBorder="1" applyAlignment="1">
      <alignment horizontal="right" vertical="center" wrapText="1"/>
    </xf>
    <xf numFmtId="165" fontId="3" fillId="4" borderId="1" xfId="2" applyNumberFormat="1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center"/>
    </xf>
    <xf numFmtId="165" fontId="17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right"/>
    </xf>
    <xf numFmtId="165" fontId="11" fillId="4" borderId="1" xfId="1" applyNumberFormat="1" applyFont="1" applyFill="1" applyBorder="1" applyAlignment="1">
      <alignment horizontal="right"/>
    </xf>
    <xf numFmtId="165" fontId="11" fillId="4" borderId="1" xfId="1" applyNumberFormat="1" applyFont="1" applyFill="1" applyBorder="1"/>
    <xf numFmtId="165" fontId="11" fillId="4" borderId="1" xfId="0" applyNumberFormat="1" applyFont="1" applyFill="1" applyBorder="1"/>
    <xf numFmtId="0" fontId="31" fillId="0" borderId="0" xfId="0" applyFont="1"/>
    <xf numFmtId="0" fontId="3" fillId="4" borderId="3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right" vertical="center" wrapText="1"/>
    </xf>
    <xf numFmtId="0" fontId="3" fillId="4" borderId="16" xfId="0" applyFont="1" applyFill="1" applyBorder="1" applyAlignment="1">
      <alignment horizontal="center"/>
    </xf>
    <xf numFmtId="165" fontId="8" fillId="4" borderId="4" xfId="0" applyNumberFormat="1" applyFont="1" applyFill="1" applyBorder="1" applyAlignment="1">
      <alignment horizontal="right" vertical="center" wrapText="1"/>
    </xf>
    <xf numFmtId="165" fontId="2" fillId="3" borderId="5" xfId="0" applyNumberFormat="1" applyFont="1" applyFill="1" applyBorder="1" applyAlignment="1">
      <alignment horizontal="right"/>
    </xf>
    <xf numFmtId="0" fontId="27" fillId="0" borderId="0" xfId="0" applyFont="1"/>
    <xf numFmtId="165" fontId="3" fillId="0" borderId="0" xfId="1" applyNumberFormat="1" applyFont="1"/>
    <xf numFmtId="0" fontId="6" fillId="4" borderId="1" xfId="0" applyFont="1" applyFill="1" applyBorder="1"/>
    <xf numFmtId="166" fontId="3" fillId="0" borderId="1" xfId="0" applyNumberFormat="1" applyFont="1" applyBorder="1"/>
    <xf numFmtId="166" fontId="3" fillId="4" borderId="1" xfId="0" applyNumberFormat="1" applyFont="1" applyFill="1" applyBorder="1"/>
    <xf numFmtId="0" fontId="33" fillId="0" borderId="0" xfId="0" applyFont="1" applyAlignment="1">
      <alignment vertical="center"/>
    </xf>
    <xf numFmtId="0" fontId="13" fillId="0" borderId="0" xfId="0" applyFont="1"/>
    <xf numFmtId="3" fontId="20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4" fillId="0" borderId="0" xfId="0" applyFont="1"/>
    <xf numFmtId="166" fontId="3" fillId="3" borderId="1" xfId="0" applyNumberFormat="1" applyFont="1" applyFill="1" applyBorder="1"/>
    <xf numFmtId="0" fontId="3" fillId="0" borderId="0" xfId="0" applyFont="1" applyAlignment="1">
      <alignment horizontal="left" vertical="top"/>
    </xf>
    <xf numFmtId="9" fontId="2" fillId="0" borderId="1" xfId="0" applyNumberFormat="1" applyFont="1" applyBorder="1"/>
    <xf numFmtId="10" fontId="2" fillId="0" borderId="1" xfId="0" applyNumberFormat="1" applyFont="1" applyBorder="1"/>
    <xf numFmtId="9" fontId="3" fillId="0" borderId="0" xfId="3" applyFont="1" applyFill="1" applyAlignment="1">
      <alignment horizontal="center"/>
    </xf>
    <xf numFmtId="0" fontId="3" fillId="0" borderId="0" xfId="0" applyFont="1" applyAlignment="1">
      <alignment vertical="center"/>
    </xf>
    <xf numFmtId="9" fontId="2" fillId="0" borderId="0" xfId="3" applyFont="1" applyFill="1" applyAlignment="1">
      <alignment horizontal="center"/>
    </xf>
    <xf numFmtId="0" fontId="32" fillId="0" borderId="0" xfId="0" applyFont="1" applyAlignment="1">
      <alignment horizontal="left" vertical="center" indent="15"/>
    </xf>
    <xf numFmtId="10" fontId="3" fillId="0" borderId="1" xfId="0" applyNumberFormat="1" applyFont="1" applyBorder="1"/>
    <xf numFmtId="9" fontId="3" fillId="0" borderId="1" xfId="0" applyNumberFormat="1" applyFont="1" applyBorder="1"/>
    <xf numFmtId="0" fontId="17" fillId="0" borderId="1" xfId="0" applyFont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vertical="center" wrapText="1"/>
    </xf>
    <xf numFmtId="165" fontId="8" fillId="9" borderId="1" xfId="1" applyNumberFormat="1" applyFont="1" applyFill="1" applyBorder="1" applyAlignment="1">
      <alignment vertical="center" wrapText="1"/>
    </xf>
    <xf numFmtId="166" fontId="3" fillId="0" borderId="0" xfId="1" applyNumberFormat="1" applyFont="1"/>
    <xf numFmtId="165" fontId="1" fillId="3" borderId="1" xfId="0" applyNumberFormat="1" applyFont="1" applyFill="1" applyBorder="1"/>
    <xf numFmtId="165" fontId="2" fillId="4" borderId="0" xfId="0" applyNumberFormat="1" applyFont="1" applyFill="1"/>
    <xf numFmtId="165" fontId="2" fillId="3" borderId="0" xfId="0" applyNumberFormat="1" applyFont="1" applyFill="1"/>
    <xf numFmtId="0" fontId="39" fillId="0" borderId="1" xfId="0" applyFont="1" applyBorder="1"/>
    <xf numFmtId="0" fontId="8" fillId="0" borderId="1" xfId="0" applyFont="1" applyBorder="1"/>
    <xf numFmtId="0" fontId="8" fillId="8" borderId="1" xfId="0" applyFont="1" applyFill="1" applyBorder="1" applyAlignment="1">
      <alignment horizontal="center"/>
    </xf>
    <xf numFmtId="3" fontId="8" fillId="5" borderId="1" xfId="0" applyNumberFormat="1" applyFont="1" applyFill="1" applyBorder="1" applyAlignment="1">
      <alignment horizontal="center"/>
    </xf>
    <xf numFmtId="3" fontId="8" fillId="8" borderId="1" xfId="0" applyNumberFormat="1" applyFont="1" applyFill="1" applyBorder="1" applyAlignment="1">
      <alignment horizontal="center"/>
    </xf>
    <xf numFmtId="3" fontId="8" fillId="6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9" fontId="8" fillId="8" borderId="1" xfId="0" applyNumberFormat="1" applyFont="1" applyFill="1" applyBorder="1" applyAlignment="1">
      <alignment horizontal="right"/>
    </xf>
    <xf numFmtId="169" fontId="8" fillId="5" borderId="1" xfId="0" applyNumberFormat="1" applyFont="1" applyFill="1" applyBorder="1" applyAlignment="1">
      <alignment horizontal="right"/>
    </xf>
    <xf numFmtId="169" fontId="8" fillId="8" borderId="1" xfId="0" applyNumberFormat="1" applyFont="1" applyFill="1" applyBorder="1" applyAlignment="1">
      <alignment horizontal="right" wrapText="1"/>
    </xf>
    <xf numFmtId="169" fontId="8" fillId="5" borderId="1" xfId="0" applyNumberFormat="1" applyFont="1" applyFill="1" applyBorder="1" applyAlignment="1">
      <alignment horizontal="right" wrapText="1"/>
    </xf>
    <xf numFmtId="169" fontId="8" fillId="6" borderId="1" xfId="0" applyNumberFormat="1" applyFont="1" applyFill="1" applyBorder="1" applyAlignment="1">
      <alignment horizontal="right"/>
    </xf>
    <xf numFmtId="169" fontId="8" fillId="4" borderId="1" xfId="0" applyNumberFormat="1" applyFont="1" applyFill="1" applyBorder="1" applyAlignment="1">
      <alignment horizontal="right"/>
    </xf>
    <xf numFmtId="169" fontId="8" fillId="3" borderId="1" xfId="0" applyNumberFormat="1" applyFont="1" applyFill="1" applyBorder="1" applyAlignment="1">
      <alignment horizontal="right"/>
    </xf>
    <xf numFmtId="169" fontId="8" fillId="7" borderId="1" xfId="0" applyNumberFormat="1" applyFont="1" applyFill="1" applyBorder="1" applyAlignment="1">
      <alignment horizontal="right" wrapText="1"/>
    </xf>
    <xf numFmtId="169" fontId="8" fillId="4" borderId="1" xfId="0" applyNumberFormat="1" applyFont="1" applyFill="1" applyBorder="1" applyAlignment="1">
      <alignment horizontal="right" wrapText="1"/>
    </xf>
    <xf numFmtId="170" fontId="8" fillId="3" borderId="1" xfId="0" applyNumberFormat="1" applyFont="1" applyFill="1" applyBorder="1"/>
    <xf numFmtId="169" fontId="11" fillId="5" borderId="1" xfId="0" applyNumberFormat="1" applyFont="1" applyFill="1" applyBorder="1" applyAlignment="1">
      <alignment horizontal="right"/>
    </xf>
    <xf numFmtId="169" fontId="11" fillId="8" borderId="1" xfId="0" applyNumberFormat="1" applyFont="1" applyFill="1" applyBorder="1" applyAlignment="1">
      <alignment horizontal="right"/>
    </xf>
    <xf numFmtId="169" fontId="11" fillId="7" borderId="1" xfId="0" applyNumberFormat="1" applyFont="1" applyFill="1" applyBorder="1" applyAlignment="1">
      <alignment horizontal="right"/>
    </xf>
    <xf numFmtId="169" fontId="11" fillId="4" borderId="1" xfId="0" applyNumberFormat="1" applyFont="1" applyFill="1" applyBorder="1" applyAlignment="1">
      <alignment horizontal="right"/>
    </xf>
    <xf numFmtId="170" fontId="8" fillId="4" borderId="1" xfId="0" applyNumberFormat="1" applyFont="1" applyFill="1" applyBorder="1"/>
    <xf numFmtId="0" fontId="17" fillId="0" borderId="1" xfId="0" applyFont="1" applyBorder="1"/>
    <xf numFmtId="169" fontId="17" fillId="8" borderId="1" xfId="0" applyNumberFormat="1" applyFont="1" applyFill="1" applyBorder="1" applyAlignment="1">
      <alignment horizontal="right"/>
    </xf>
    <xf numFmtId="169" fontId="17" fillId="5" borderId="1" xfId="0" applyNumberFormat="1" applyFont="1" applyFill="1" applyBorder="1" applyAlignment="1">
      <alignment horizontal="right"/>
    </xf>
    <xf numFmtId="169" fontId="17" fillId="6" borderId="1" xfId="0" applyNumberFormat="1" applyFont="1" applyFill="1" applyBorder="1" applyAlignment="1">
      <alignment horizontal="right"/>
    </xf>
    <xf numFmtId="169" fontId="17" fillId="4" borderId="1" xfId="0" applyNumberFormat="1" applyFont="1" applyFill="1" applyBorder="1" applyAlignment="1">
      <alignment horizontal="right"/>
    </xf>
    <xf numFmtId="169" fontId="17" fillId="3" borderId="1" xfId="0" applyNumberFormat="1" applyFont="1" applyFill="1" applyBorder="1" applyAlignment="1">
      <alignment horizontal="right"/>
    </xf>
    <xf numFmtId="0" fontId="8" fillId="0" borderId="0" xfId="0" applyFont="1"/>
    <xf numFmtId="165" fontId="3" fillId="3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3" fillId="0" borderId="12" xfId="0" applyNumberFormat="1" applyFont="1" applyBorder="1"/>
    <xf numFmtId="165" fontId="2" fillId="0" borderId="12" xfId="0" applyNumberFormat="1" applyFont="1" applyBorder="1"/>
    <xf numFmtId="3" fontId="9" fillId="0" borderId="1" xfId="0" applyNumberFormat="1" applyFont="1" applyBorder="1"/>
    <xf numFmtId="0" fontId="23" fillId="0" borderId="0" xfId="0" applyFont="1" applyProtection="1">
      <protection locked="0"/>
    </xf>
    <xf numFmtId="0" fontId="40" fillId="0" borderId="0" xfId="0" applyFont="1" applyAlignment="1" applyProtection="1">
      <alignment horizontal="centerContinuous"/>
      <protection locked="0"/>
    </xf>
    <xf numFmtId="40" fontId="23" fillId="0" borderId="0" xfId="0" applyNumberFormat="1" applyFont="1" applyAlignment="1" applyProtection="1">
      <alignment horizontal="centerContinuous"/>
      <protection locked="0"/>
    </xf>
    <xf numFmtId="0" fontId="23" fillId="0" borderId="0" xfId="0" applyFont="1" applyAlignment="1" applyProtection="1">
      <alignment horizontal="centerContinuous"/>
      <protection locked="0"/>
    </xf>
    <xf numFmtId="40" fontId="23" fillId="10" borderId="0" xfId="0" applyNumberFormat="1" applyFont="1" applyFill="1" applyProtection="1">
      <protection locked="0"/>
    </xf>
    <xf numFmtId="172" fontId="23" fillId="10" borderId="0" xfId="0" applyNumberFormat="1" applyFont="1" applyFill="1" applyProtection="1"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40" fontId="23" fillId="0" borderId="0" xfId="0" applyNumberFormat="1" applyFont="1" applyProtection="1">
      <protection locked="0"/>
    </xf>
    <xf numFmtId="40" fontId="41" fillId="0" borderId="0" xfId="0" applyNumberFormat="1" applyFont="1" applyAlignment="1" applyProtection="1">
      <alignment horizontal="right"/>
      <protection locked="0"/>
    </xf>
    <xf numFmtId="14" fontId="23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41" fillId="0" borderId="0" xfId="0" applyFont="1" applyProtection="1">
      <protection locked="0"/>
    </xf>
    <xf numFmtId="0" fontId="23" fillId="0" borderId="32" xfId="0" applyFont="1" applyBorder="1" applyAlignment="1" applyProtection="1">
      <alignment horizontal="center"/>
      <protection locked="0"/>
    </xf>
    <xf numFmtId="0" fontId="23" fillId="0" borderId="20" xfId="0" applyFont="1" applyBorder="1" applyProtection="1">
      <protection locked="0"/>
    </xf>
    <xf numFmtId="171" fontId="23" fillId="0" borderId="24" xfId="1" applyNumberFormat="1" applyFont="1" applyFill="1" applyBorder="1" applyAlignment="1" applyProtection="1">
      <alignment horizontal="left"/>
      <protection locked="0"/>
    </xf>
    <xf numFmtId="44" fontId="23" fillId="0" borderId="31" xfId="1" applyFont="1" applyBorder="1" applyAlignment="1" applyProtection="1">
      <alignment horizontal="left"/>
      <protection locked="0"/>
    </xf>
    <xf numFmtId="44" fontId="23" fillId="0" borderId="0" xfId="1" applyFont="1" applyBorder="1" applyAlignment="1" applyProtection="1">
      <alignment horizontal="left"/>
      <protection locked="0"/>
    </xf>
    <xf numFmtId="22" fontId="23" fillId="0" borderId="0" xfId="0" applyNumberFormat="1" applyFont="1" applyAlignment="1" applyProtection="1">
      <alignment horizontal="left"/>
      <protection locked="0"/>
    </xf>
    <xf numFmtId="0" fontId="23" fillId="0" borderId="2" xfId="0" applyFont="1" applyBorder="1" applyAlignment="1" applyProtection="1">
      <alignment horizontal="center"/>
      <protection locked="0"/>
    </xf>
    <xf numFmtId="0" fontId="23" fillId="0" borderId="4" xfId="0" applyFont="1" applyBorder="1" applyProtection="1">
      <protection locked="0"/>
    </xf>
    <xf numFmtId="171" fontId="23" fillId="0" borderId="1" xfId="1" applyNumberFormat="1" applyFont="1" applyFill="1" applyBorder="1" applyAlignment="1" applyProtection="1">
      <alignment horizontal="left"/>
      <protection locked="0"/>
    </xf>
    <xf numFmtId="44" fontId="23" fillId="0" borderId="14" xfId="1" applyFont="1" applyBorder="1" applyAlignment="1" applyProtection="1">
      <alignment horizontal="left"/>
      <protection locked="0"/>
    </xf>
    <xf numFmtId="44" fontId="42" fillId="0" borderId="0" xfId="1" applyFont="1" applyBorder="1" applyAlignment="1" applyProtection="1">
      <alignment horizontal="left"/>
      <protection locked="0"/>
    </xf>
    <xf numFmtId="165" fontId="23" fillId="0" borderId="0" xfId="0" applyNumberFormat="1" applyFont="1" applyAlignment="1" applyProtection="1">
      <alignment horizontal="left"/>
      <protection locked="0"/>
    </xf>
    <xf numFmtId="171" fontId="23" fillId="0" borderId="1" xfId="1" applyNumberFormat="1" applyFont="1" applyBorder="1" applyAlignment="1" applyProtection="1">
      <alignment horizontal="left"/>
      <protection locked="0"/>
    </xf>
    <xf numFmtId="171" fontId="42" fillId="0" borderId="14" xfId="1" applyNumberFormat="1" applyFont="1" applyBorder="1" applyAlignment="1" applyProtection="1">
      <alignment horizontal="left"/>
      <protection locked="0"/>
    </xf>
    <xf numFmtId="10" fontId="42" fillId="0" borderId="0" xfId="3" applyNumberFormat="1" applyFont="1" applyBorder="1" applyAlignment="1" applyProtection="1">
      <alignment horizontal="center"/>
      <protection locked="0"/>
    </xf>
    <xf numFmtId="0" fontId="40" fillId="0" borderId="4" xfId="0" applyFont="1" applyBorder="1" applyAlignment="1" applyProtection="1">
      <alignment horizontal="center"/>
      <protection locked="0"/>
    </xf>
    <xf numFmtId="44" fontId="42" fillId="0" borderId="0" xfId="0" applyNumberFormat="1" applyFont="1" applyAlignment="1" applyProtection="1">
      <alignment horizontal="left"/>
      <protection locked="0"/>
    </xf>
    <xf numFmtId="40" fontId="23" fillId="0" borderId="14" xfId="0" applyNumberFormat="1" applyFont="1" applyBorder="1" applyProtection="1">
      <protection locked="0"/>
    </xf>
    <xf numFmtId="14" fontId="43" fillId="0" borderId="0" xfId="0" applyNumberFormat="1" applyFont="1" applyAlignment="1" applyProtection="1">
      <alignment horizontal="left"/>
      <protection locked="0"/>
    </xf>
    <xf numFmtId="44" fontId="43" fillId="0" borderId="0" xfId="0" applyNumberFormat="1" applyFont="1" applyAlignment="1" applyProtection="1">
      <alignment horizontal="left"/>
      <protection locked="0"/>
    </xf>
    <xf numFmtId="171" fontId="23" fillId="0" borderId="1" xfId="1" applyNumberFormat="1" applyFont="1" applyBorder="1" applyProtection="1">
      <protection locked="0"/>
    </xf>
    <xf numFmtId="44" fontId="23" fillId="0" borderId="0" xfId="0" applyNumberFormat="1" applyFont="1" applyProtection="1">
      <protection locked="0"/>
    </xf>
    <xf numFmtId="0" fontId="43" fillId="0" borderId="0" xfId="0" applyFont="1" applyProtection="1">
      <protection locked="0"/>
    </xf>
    <xf numFmtId="40" fontId="42" fillId="0" borderId="0" xfId="0" applyNumberFormat="1" applyFont="1" applyAlignment="1" applyProtection="1">
      <alignment horizontal="left"/>
      <protection locked="0"/>
    </xf>
    <xf numFmtId="0" fontId="43" fillId="0" borderId="0" xfId="0" applyFont="1"/>
    <xf numFmtId="0" fontId="23" fillId="2" borderId="0" xfId="0" applyFont="1" applyFill="1" applyProtection="1">
      <protection locked="0"/>
    </xf>
    <xf numFmtId="0" fontId="40" fillId="0" borderId="4" xfId="0" applyFont="1" applyBorder="1" applyProtection="1">
      <protection locked="0"/>
    </xf>
    <xf numFmtId="40" fontId="23" fillId="0" borderId="4" xfId="0" applyNumberFormat="1" applyFont="1" applyBorder="1" applyAlignment="1" applyProtection="1">
      <alignment horizontal="right"/>
      <protection locked="0"/>
    </xf>
    <xf numFmtId="171" fontId="23" fillId="0" borderId="1" xfId="0" applyNumberFormat="1" applyFont="1" applyBorder="1" applyProtection="1">
      <protection locked="0"/>
    </xf>
    <xf numFmtId="40" fontId="42" fillId="0" borderId="14" xfId="0" applyNumberFormat="1" applyFont="1" applyBorder="1" applyProtection="1">
      <protection locked="0"/>
    </xf>
    <xf numFmtId="40" fontId="42" fillId="0" borderId="0" xfId="0" applyNumberFormat="1" applyFont="1" applyProtection="1">
      <protection locked="0"/>
    </xf>
    <xf numFmtId="0" fontId="42" fillId="0" borderId="14" xfId="0" applyFont="1" applyBorder="1" applyProtection="1">
      <protection locked="0"/>
    </xf>
    <xf numFmtId="0" fontId="42" fillId="0" borderId="0" xfId="0" applyFont="1" applyProtection="1">
      <protection locked="0"/>
    </xf>
    <xf numFmtId="40" fontId="40" fillId="0" borderId="4" xfId="0" applyNumberFormat="1" applyFont="1" applyBorder="1" applyProtection="1">
      <protection locked="0"/>
    </xf>
    <xf numFmtId="40" fontId="40" fillId="0" borderId="0" xfId="0" applyNumberFormat="1" applyFont="1" applyAlignment="1" applyProtection="1">
      <alignment horizontal="left"/>
      <protection locked="0"/>
    </xf>
    <xf numFmtId="40" fontId="23" fillId="0" borderId="4" xfId="0" applyNumberFormat="1" applyFont="1" applyBorder="1" applyProtection="1">
      <protection locked="0"/>
    </xf>
    <xf numFmtId="49" fontId="23" fillId="0" borderId="2" xfId="0" applyNumberFormat="1" applyFont="1" applyBorder="1" applyAlignment="1" applyProtection="1">
      <alignment horizontal="center"/>
      <protection locked="0"/>
    </xf>
    <xf numFmtId="40" fontId="45" fillId="0" borderId="14" xfId="0" applyNumberFormat="1" applyFont="1" applyBorder="1" applyProtection="1">
      <protection locked="0"/>
    </xf>
    <xf numFmtId="40" fontId="45" fillId="0" borderId="0" xfId="0" applyNumberFormat="1" applyFont="1" applyProtection="1">
      <protection locked="0"/>
    </xf>
    <xf numFmtId="0" fontId="23" fillId="0" borderId="4" xfId="0" applyFont="1" applyBorder="1" applyAlignment="1" applyProtection="1">
      <alignment horizontal="right"/>
      <protection locked="0"/>
    </xf>
    <xf numFmtId="0" fontId="23" fillId="0" borderId="8" xfId="0" applyFont="1" applyBorder="1" applyProtection="1">
      <protection locked="0"/>
    </xf>
    <xf numFmtId="171" fontId="23" fillId="0" borderId="33" xfId="0" applyNumberFormat="1" applyFont="1" applyBorder="1" applyProtection="1">
      <protection locked="0"/>
    </xf>
    <xf numFmtId="40" fontId="23" fillId="0" borderId="10" xfId="0" applyNumberFormat="1" applyFont="1" applyBorder="1" applyProtection="1">
      <protection locked="0"/>
    </xf>
    <xf numFmtId="40" fontId="40" fillId="0" borderId="23" xfId="0" applyNumberFormat="1" applyFont="1" applyBorder="1" applyProtection="1">
      <protection locked="0"/>
    </xf>
    <xf numFmtId="40" fontId="23" fillId="0" borderId="22" xfId="0" applyNumberFormat="1" applyFont="1" applyBorder="1" applyProtection="1">
      <protection locked="0"/>
    </xf>
    <xf numFmtId="171" fontId="23" fillId="0" borderId="0" xfId="0" applyNumberFormat="1" applyFont="1" applyProtection="1">
      <protection locked="0"/>
    </xf>
    <xf numFmtId="0" fontId="42" fillId="10" borderId="34" xfId="0" applyFont="1" applyFill="1" applyBorder="1" applyAlignment="1" applyProtection="1">
      <alignment horizontal="centerContinuous"/>
      <protection locked="0"/>
    </xf>
    <xf numFmtId="171" fontId="42" fillId="10" borderId="35" xfId="0" applyNumberFormat="1" applyFont="1" applyFill="1" applyBorder="1" applyAlignment="1" applyProtection="1">
      <alignment horizontal="centerContinuous"/>
      <protection locked="0"/>
    </xf>
    <xf numFmtId="40" fontId="23" fillId="10" borderId="36" xfId="0" applyNumberFormat="1" applyFont="1" applyFill="1" applyBorder="1" applyAlignment="1" applyProtection="1">
      <alignment horizontal="right"/>
      <protection locked="0"/>
    </xf>
    <xf numFmtId="171" fontId="23" fillId="10" borderId="37" xfId="0" applyNumberFormat="1" applyFont="1" applyFill="1" applyBorder="1" applyProtection="1">
      <protection locked="0"/>
    </xf>
    <xf numFmtId="40" fontId="23" fillId="10" borderId="38" xfId="0" applyNumberFormat="1" applyFont="1" applyFill="1" applyBorder="1" applyAlignment="1" applyProtection="1">
      <alignment horizontal="right"/>
      <protection locked="0"/>
    </xf>
    <xf numFmtId="171" fontId="46" fillId="10" borderId="9" xfId="0" applyNumberFormat="1" applyFont="1" applyFill="1" applyBorder="1" applyProtection="1">
      <protection locked="0"/>
    </xf>
    <xf numFmtId="40" fontId="42" fillId="10" borderId="38" xfId="0" applyNumberFormat="1" applyFont="1" applyFill="1" applyBorder="1" applyAlignment="1" applyProtection="1">
      <alignment horizontal="right"/>
      <protection locked="0"/>
    </xf>
    <xf numFmtId="171" fontId="42" fillId="10" borderId="9" xfId="0" applyNumberFormat="1" applyFont="1" applyFill="1" applyBorder="1" applyProtection="1">
      <protection locked="0"/>
    </xf>
    <xf numFmtId="171" fontId="23" fillId="10" borderId="9" xfId="0" applyNumberFormat="1" applyFont="1" applyFill="1" applyBorder="1" applyProtection="1">
      <protection locked="0"/>
    </xf>
    <xf numFmtId="40" fontId="23" fillId="10" borderId="39" xfId="0" applyNumberFormat="1" applyFont="1" applyFill="1" applyBorder="1" applyAlignment="1" applyProtection="1">
      <alignment horizontal="right"/>
      <protection locked="0"/>
    </xf>
    <xf numFmtId="171" fontId="42" fillId="10" borderId="40" xfId="0" applyNumberFormat="1" applyFont="1" applyFill="1" applyBorder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40" fontId="23" fillId="0" borderId="0" xfId="0" applyNumberFormat="1" applyFont="1" applyAlignment="1" applyProtection="1">
      <alignment horizontal="righ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43" fillId="0" borderId="0" xfId="0" applyFont="1" applyAlignment="1" applyProtection="1">
      <alignment horizontal="right"/>
      <protection locked="0"/>
    </xf>
    <xf numFmtId="0" fontId="3" fillId="0" borderId="0" xfId="0" quotePrefix="1" applyFont="1"/>
    <xf numFmtId="0" fontId="12" fillId="0" borderId="0" xfId="0" applyFont="1"/>
    <xf numFmtId="6" fontId="3" fillId="0" borderId="0" xfId="0" applyNumberFormat="1" applyFont="1"/>
    <xf numFmtId="171" fontId="42" fillId="0" borderId="1" xfId="1" applyNumberFormat="1" applyFont="1" applyFill="1" applyBorder="1" applyProtection="1"/>
    <xf numFmtId="171" fontId="42" fillId="0" borderId="25" xfId="1" applyNumberFormat="1" applyFont="1" applyBorder="1" applyProtection="1"/>
    <xf numFmtId="0" fontId="3" fillId="0" borderId="0" xfId="0" applyFont="1" applyAlignment="1">
      <alignment horizontal="center" vertical="center" wrapText="1"/>
    </xf>
    <xf numFmtId="9" fontId="3" fillId="0" borderId="13" xfId="3" applyFont="1" applyFill="1" applyBorder="1" applyAlignment="1">
      <alignment horizontal="center"/>
    </xf>
    <xf numFmtId="165" fontId="14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165" fontId="17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9" fontId="17" fillId="0" borderId="13" xfId="3" applyFont="1" applyFill="1" applyBorder="1" applyAlignment="1">
      <alignment horizontal="center" vertical="center" wrapText="1"/>
    </xf>
    <xf numFmtId="9" fontId="3" fillId="9" borderId="13" xfId="3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/>
    <xf numFmtId="165" fontId="3" fillId="9" borderId="1" xfId="0" applyNumberFormat="1" applyFont="1" applyFill="1" applyBorder="1"/>
    <xf numFmtId="165" fontId="3" fillId="0" borderId="1" xfId="3" applyNumberFormat="1" applyFont="1" applyFill="1" applyBorder="1"/>
    <xf numFmtId="165" fontId="11" fillId="0" borderId="1" xfId="0" applyNumberFormat="1" applyFont="1" applyBorder="1"/>
    <xf numFmtId="165" fontId="20" fillId="0" borderId="1" xfId="0" applyNumberFormat="1" applyFont="1" applyBorder="1"/>
    <xf numFmtId="9" fontId="20" fillId="0" borderId="1" xfId="3" applyFont="1" applyFill="1" applyBorder="1" applyAlignment="1">
      <alignment horizontal="center"/>
    </xf>
    <xf numFmtId="10" fontId="47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Protection="1">
      <protection locked="0"/>
    </xf>
    <xf numFmtId="40" fontId="23" fillId="0" borderId="1" xfId="0" applyNumberFormat="1" applyFont="1" applyBorder="1" applyProtection="1">
      <protection locked="0"/>
    </xf>
    <xf numFmtId="166" fontId="2" fillId="0" borderId="1" xfId="0" applyNumberFormat="1" applyFont="1" applyBorder="1"/>
    <xf numFmtId="44" fontId="23" fillId="0" borderId="1" xfId="1" applyFont="1" applyBorder="1" applyAlignment="1" applyProtection="1">
      <alignment horizontal="left"/>
      <protection locked="0"/>
    </xf>
    <xf numFmtId="44" fontId="23" fillId="0" borderId="1" xfId="1" applyFont="1" applyBorder="1" applyProtection="1">
      <protection locked="0"/>
    </xf>
    <xf numFmtId="44" fontId="44" fillId="0" borderId="33" xfId="1" applyFont="1" applyBorder="1" applyProtection="1">
      <protection locked="0"/>
    </xf>
    <xf numFmtId="44" fontId="23" fillId="0" borderId="14" xfId="1" applyFont="1" applyBorder="1" applyProtection="1">
      <protection locked="0"/>
    </xf>
    <xf numFmtId="171" fontId="23" fillId="0" borderId="14" xfId="1" applyNumberFormat="1" applyFont="1" applyBorder="1" applyAlignment="1" applyProtection="1">
      <alignment horizontal="left"/>
      <protection locked="0"/>
    </xf>
    <xf numFmtId="0" fontId="23" fillId="0" borderId="23" xfId="0" applyFont="1" applyBorder="1" applyProtection="1">
      <protection locked="0"/>
    </xf>
    <xf numFmtId="10" fontId="14" fillId="0" borderId="0" xfId="3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10" fontId="14" fillId="0" borderId="0" xfId="3" applyNumberFormat="1" applyFont="1" applyFill="1" applyAlignment="1">
      <alignment horizontal="center"/>
    </xf>
    <xf numFmtId="168" fontId="14" fillId="0" borderId="13" xfId="3" applyNumberFormat="1" applyFont="1" applyFill="1" applyBorder="1" applyAlignment="1">
      <alignment horizontal="center"/>
    </xf>
    <xf numFmtId="9" fontId="0" fillId="0" borderId="0" xfId="0" applyNumberFormat="1"/>
    <xf numFmtId="165" fontId="2" fillId="11" borderId="1" xfId="0" applyNumberFormat="1" applyFont="1" applyFill="1" applyBorder="1"/>
    <xf numFmtId="165" fontId="20" fillId="11" borderId="1" xfId="0" applyNumberFormat="1" applyFont="1" applyFill="1" applyBorder="1"/>
    <xf numFmtId="165" fontId="47" fillId="11" borderId="1" xfId="0" applyNumberFormat="1" applyFont="1" applyFill="1" applyBorder="1"/>
    <xf numFmtId="10" fontId="47" fillId="11" borderId="1" xfId="3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166" fontId="17" fillId="11" borderId="1" xfId="0" applyNumberFormat="1" applyFont="1" applyFill="1" applyBorder="1" applyAlignment="1">
      <alignment horizontal="center" vertical="center" wrapText="1"/>
    </xf>
    <xf numFmtId="10" fontId="47" fillId="11" borderId="1" xfId="0" applyNumberFormat="1" applyFont="1" applyFill="1" applyBorder="1" applyAlignment="1">
      <alignment horizontal="center" vertical="center" wrapText="1"/>
    </xf>
    <xf numFmtId="40" fontId="40" fillId="0" borderId="0" xfId="0" applyNumberFormat="1" applyFont="1" applyProtection="1">
      <protection locked="0"/>
    </xf>
    <xf numFmtId="44" fontId="2" fillId="0" borderId="14" xfId="0" applyNumberFormat="1" applyFont="1" applyBorder="1"/>
    <xf numFmtId="44" fontId="44" fillId="0" borderId="22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3" fillId="0" borderId="1" xfId="0" applyFont="1" applyBorder="1"/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1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7" fillId="0" borderId="1" xfId="0" applyNumberFormat="1" applyFont="1" applyBorder="1" applyAlignment="1">
      <alignment horizontal="center" vertical="center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23 Town Expenses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BC7-487C-8189-33EF8341D11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C7-487C-8189-33EF8341D11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C7-487C-8189-33EF8341D11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C7-487C-8189-33EF8341D11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E-4BB7-9C9F-55E68A19C10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79E-4BB7-9C9F-55E68A19C10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79E-4BB7-9C9F-55E68A19C10F}"/>
              </c:ext>
            </c:extLst>
          </c:dPt>
          <c:dLbls>
            <c:dLbl>
              <c:idx val="5"/>
              <c:layout>
                <c:manualLayout>
                  <c:x val="-6.0606060606060608E-2"/>
                  <c:y val="5.055291756013309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9E-4BB7-9C9F-55E68A19C10F}"/>
                </c:ext>
              </c:extLst>
            </c:dLbl>
            <c:dLbl>
              <c:idx val="6"/>
              <c:layout>
                <c:manualLayout>
                  <c:x val="9.9039172209903922E-2"/>
                  <c:y val="-2.27488129020598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9E-4BB7-9C9F-55E68A19C10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'Chart of Expenses'!$A$36:$A$42</c:f>
              <c:strCache>
                <c:ptCount val="7"/>
                <c:pt idx="0">
                  <c:v>General Government</c:v>
                </c:pt>
                <c:pt idx="1">
                  <c:v>Public Safety</c:v>
                </c:pt>
                <c:pt idx="2">
                  <c:v>Highway</c:v>
                </c:pt>
                <c:pt idx="3">
                  <c:v>CGS</c:v>
                </c:pt>
                <c:pt idx="4">
                  <c:v>Frontier</c:v>
                </c:pt>
                <c:pt idx="5">
                  <c:v>Franklin Cty Tech</c:v>
                </c:pt>
                <c:pt idx="6">
                  <c:v>Smith Vo-Tech</c:v>
                </c:pt>
              </c:strCache>
            </c:strRef>
          </c:cat>
          <c:val>
            <c:numRef>
              <c:f>'Chart of Expenses'!$B$36:$B$42</c:f>
              <c:numCache>
                <c:formatCode>"$"#,##0.00</c:formatCode>
                <c:ptCount val="7"/>
                <c:pt idx="0">
                  <c:v>1575215.0605000001</c:v>
                </c:pt>
                <c:pt idx="1">
                  <c:v>256043.99</c:v>
                </c:pt>
                <c:pt idx="2">
                  <c:v>771642.06850000005</c:v>
                </c:pt>
                <c:pt idx="3">
                  <c:v>2086307</c:v>
                </c:pt>
                <c:pt idx="4">
                  <c:v>1571659</c:v>
                </c:pt>
                <c:pt idx="5">
                  <c:v>183261</c:v>
                </c:pt>
                <c:pt idx="6">
                  <c:v>76344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7-487C-8189-33EF8341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FY24 Town Expenses</a:t>
            </a:r>
            <a:r>
              <a:rPr lang="en-US" baseline="0"/>
              <a:t>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24-48DE-9C1F-A5316C84EA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24-48DE-9C1F-A5316C84EA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24-48DE-9C1F-A5316C84EA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24-48DE-9C1F-A5316C84EA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24-48DE-9C1F-A5316C84EA6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324-48DE-9C1F-A5316C84EA6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324-48DE-9C1F-A5316C84EA6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324-48DE-9C1F-A5316C84EA61}"/>
              </c:ext>
            </c:extLst>
          </c:dPt>
          <c:dLbls>
            <c:dLbl>
              <c:idx val="6"/>
              <c:layout>
                <c:manualLayout>
                  <c:x val="-0.16021361815754342"/>
                  <c:y val="-1.27347965581153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24-48DE-9C1F-A5316C84EA61}"/>
                </c:ext>
              </c:extLst>
            </c:dLbl>
            <c:dLbl>
              <c:idx val="7"/>
              <c:layout>
                <c:manualLayout>
                  <c:x val="8.188696039163329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24-48DE-9C1F-A5316C84EA6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'Chart of Expenses'!$A$1:$A$8</c:f>
              <c:strCache>
                <c:ptCount val="8"/>
                <c:pt idx="0">
                  <c:v>General Government</c:v>
                </c:pt>
                <c:pt idx="1">
                  <c:v>Public Safety</c:v>
                </c:pt>
                <c:pt idx="2">
                  <c:v>Highway</c:v>
                </c:pt>
                <c:pt idx="3">
                  <c:v>Transfer Station</c:v>
                </c:pt>
                <c:pt idx="4">
                  <c:v>CGS</c:v>
                </c:pt>
                <c:pt idx="5">
                  <c:v>Frontier</c:v>
                </c:pt>
                <c:pt idx="6">
                  <c:v>Franklin Cty Tech</c:v>
                </c:pt>
                <c:pt idx="7">
                  <c:v>Smith Vo-Tech</c:v>
                </c:pt>
              </c:strCache>
            </c:strRef>
          </c:cat>
          <c:val>
            <c:numRef>
              <c:f>'Chart of Expenses'!$B$1:$B$8</c:f>
              <c:numCache>
                <c:formatCode>"$"#,##0.00</c:formatCode>
                <c:ptCount val="8"/>
                <c:pt idx="0">
                  <c:v>1553444.5449999999</c:v>
                </c:pt>
                <c:pt idx="1">
                  <c:v>251669.69</c:v>
                </c:pt>
                <c:pt idx="2">
                  <c:v>867642.06850000005</c:v>
                </c:pt>
                <c:pt idx="3">
                  <c:v>193948.33000000002</c:v>
                </c:pt>
                <c:pt idx="4">
                  <c:v>2135585</c:v>
                </c:pt>
                <c:pt idx="5">
                  <c:v>1604965</c:v>
                </c:pt>
                <c:pt idx="6">
                  <c:v>171272</c:v>
                </c:pt>
                <c:pt idx="7">
                  <c:v>52905.600000000006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3-484F-B963-5B29957A4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9</xdr:col>
      <xdr:colOff>314325</xdr:colOff>
      <xdr:row>20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A73FF0-9AE2-4A65-A497-64C0C1B5EFAF}"/>
            </a:ext>
          </a:extLst>
        </xdr:cNvPr>
        <xdr:cNvSpPr txBox="1"/>
      </xdr:nvSpPr>
      <xdr:spPr>
        <a:xfrm>
          <a:off x="3114675" y="2857500"/>
          <a:ext cx="5581650" cy="9906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Ground Maintenance (245):</a:t>
          </a:r>
        </a:p>
        <a:p>
          <a:endParaRPr lang="en-US" sz="1100" baseline="0"/>
        </a:p>
        <a:p>
          <a:r>
            <a:rPr lang="en-US" sz="1100" baseline="0"/>
            <a:t>* Mowing ballfield/commons has more than doubled in cost. </a:t>
          </a:r>
        </a:p>
        <a:p>
          <a:r>
            <a:rPr lang="en-US" sz="1100" baseline="0"/>
            <a:t>*Cemeteries are no longer paid by Trust and incorporated into the  highway budget.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28574</xdr:rowOff>
    </xdr:from>
    <xdr:to>
      <xdr:col>8</xdr:col>
      <xdr:colOff>790575</xdr:colOff>
      <xdr:row>36</xdr:row>
      <xdr:rowOff>34637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BE7A30-34B2-4E1C-BDE9-47EC0C85817D}"/>
            </a:ext>
          </a:extLst>
        </xdr:cNvPr>
        <xdr:cNvSpPr txBox="1"/>
      </xdr:nvSpPr>
      <xdr:spPr>
        <a:xfrm>
          <a:off x="3362325" y="4226501"/>
          <a:ext cx="5727123" cy="209117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Rental &amp; Equipment </a:t>
          </a:r>
          <a:r>
            <a:rPr lang="en-US" sz="1100" baseline="0"/>
            <a:t> (339):  </a:t>
          </a:r>
        </a:p>
        <a:p>
          <a:r>
            <a:rPr lang="en-US" sz="1100" baseline="0"/>
            <a:t>* Request increase for renting grader in spring. A replacement grader is major acquisition.</a:t>
          </a:r>
        </a:p>
        <a:p>
          <a:r>
            <a:rPr lang="en-US" sz="1100" baseline="0"/>
            <a:t>* Cost of renting Boom Lift is included in this budget. ($10,000)</a:t>
          </a:r>
        </a:p>
        <a:p>
          <a:r>
            <a:rPr lang="en-US" sz="1100" baseline="0"/>
            <a:t>* Chipper rental for 10 weeks is $1800.00/week = $18,000.00</a:t>
          </a:r>
        </a:p>
        <a:p>
          <a:endParaRPr lang="en-US" sz="1100" baseline="0"/>
        </a:p>
        <a:p>
          <a:r>
            <a:rPr lang="en-US" sz="1100" baseline="0"/>
            <a:t>Materials (383):</a:t>
          </a:r>
        </a:p>
        <a:p>
          <a:r>
            <a:rPr lang="en-US" sz="1100" baseline="0"/>
            <a:t>* Gravel increased from $18.00/yard to $29.00/yard. Budgeted for 4,000 yards</a:t>
          </a:r>
        </a:p>
        <a:p>
          <a:endParaRPr lang="en-US" sz="1100" baseline="0"/>
        </a:p>
        <a:p>
          <a:r>
            <a:rPr lang="en-US" sz="1100" baseline="0"/>
            <a:t>Fuel: (412)</a:t>
          </a:r>
        </a:p>
        <a:p>
          <a:r>
            <a:rPr lang="en-US" sz="1100" baseline="0"/>
            <a:t>* Cost of fuel increased to over $4.00/gallon.  The Highway Department budget covers Fire &amp; Ambulance diesel as well, and that totals 15,000.00/gallons per FY.</a:t>
          </a:r>
        </a:p>
        <a:p>
          <a:endParaRPr lang="en-US" sz="11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17</xdr:row>
      <xdr:rowOff>190499</xdr:rowOff>
    </xdr:from>
    <xdr:to>
      <xdr:col>9</xdr:col>
      <xdr:colOff>28575</xdr:colOff>
      <xdr:row>21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7B3358-9ED6-4F28-B996-07261CD18E22}"/>
            </a:ext>
          </a:extLst>
        </xdr:cNvPr>
        <xdr:cNvSpPr txBox="1"/>
      </xdr:nvSpPr>
      <xdr:spPr>
        <a:xfrm>
          <a:off x="2905125" y="3400424"/>
          <a:ext cx="5476875" cy="7524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Salt (386):</a:t>
          </a:r>
        </a:p>
        <a:p>
          <a:r>
            <a:rPr lang="en-US" sz="1100"/>
            <a:t>*Salt</a:t>
          </a:r>
          <a:r>
            <a:rPr lang="en-US" sz="1100" baseline="0"/>
            <a:t> increased from $58.00/ton to $85.00/ton</a:t>
          </a:r>
        </a:p>
        <a:p>
          <a:r>
            <a:rPr lang="en-US" sz="1100" baseline="0"/>
            <a:t>*Diesel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fuel increased to over $4.00/gallon.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34</xdr:row>
      <xdr:rowOff>80962</xdr:rowOff>
    </xdr:from>
    <xdr:to>
      <xdr:col>18</xdr:col>
      <xdr:colOff>428625</xdr:colOff>
      <xdr:row>60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7B0EC7-45AF-FB6E-3970-B4BE15E78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152399</xdr:colOff>
      <xdr:row>2</xdr:row>
      <xdr:rowOff>166687</xdr:rowOff>
    </xdr:from>
    <xdr:to>
      <xdr:col>15</xdr:col>
      <xdr:colOff>581024</xdr:colOff>
      <xdr:row>29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3BCC5B-B926-0E57-84A3-2DCEFA425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0DBF1-0FB1-406E-AB4C-9BDDAFEBB5F0}">
  <sheetPr>
    <tabColor theme="9" tint="0.39997558519241921"/>
    <pageSetUpPr fitToPage="1"/>
  </sheetPr>
  <dimension ref="A1:L7"/>
  <sheetViews>
    <sheetView zoomScale="130" zoomScaleNormal="130" workbookViewId="0">
      <selection activeCell="L13" sqref="L13"/>
    </sheetView>
  </sheetViews>
  <sheetFormatPr defaultRowHeight="15" x14ac:dyDescent="0.25"/>
  <cols>
    <col min="1" max="1" width="21.5703125" customWidth="1"/>
    <col min="6" max="7" width="10" customWidth="1"/>
    <col min="10" max="10" width="9.7109375" customWidth="1"/>
  </cols>
  <sheetData>
    <row r="1" spans="1:12" x14ac:dyDescent="0.25">
      <c r="A1" s="438" t="s">
        <v>0</v>
      </c>
      <c r="B1" s="438"/>
      <c r="C1" s="438"/>
      <c r="D1" s="438"/>
      <c r="E1" s="438"/>
      <c r="F1" s="438"/>
      <c r="G1" s="438"/>
      <c r="H1" s="438"/>
    </row>
    <row r="2" spans="1:12" x14ac:dyDescent="0.25">
      <c r="A2" s="438" t="s">
        <v>568</v>
      </c>
      <c r="B2" s="438"/>
      <c r="C2" s="438"/>
      <c r="D2" s="438"/>
      <c r="E2" s="438"/>
      <c r="F2" s="438"/>
      <c r="G2" s="438"/>
      <c r="H2" s="438"/>
    </row>
    <row r="3" spans="1:12" x14ac:dyDescent="0.25">
      <c r="A3" s="1"/>
      <c r="B3" s="1"/>
      <c r="C3" s="1"/>
      <c r="D3" s="1"/>
      <c r="E3" s="1"/>
    </row>
    <row r="4" spans="1:12" s="3" customFormat="1" x14ac:dyDescent="0.25">
      <c r="A4" s="2" t="s">
        <v>1</v>
      </c>
      <c r="B4" s="439" t="s">
        <v>12</v>
      </c>
      <c r="C4" s="440"/>
      <c r="D4" s="439" t="s">
        <v>2</v>
      </c>
      <c r="E4" s="440"/>
      <c r="F4" s="439" t="s">
        <v>3</v>
      </c>
      <c r="G4" s="440"/>
      <c r="H4" s="439" t="s">
        <v>4</v>
      </c>
      <c r="I4" s="441"/>
      <c r="J4" s="437" t="s">
        <v>5</v>
      </c>
      <c r="K4" s="437"/>
      <c r="L4" s="207" t="s">
        <v>570</v>
      </c>
    </row>
    <row r="5" spans="1:12" x14ac:dyDescent="0.25">
      <c r="A5" s="4"/>
      <c r="B5" s="94" t="s">
        <v>6</v>
      </c>
      <c r="C5" s="96" t="s">
        <v>7</v>
      </c>
      <c r="D5" s="94" t="s">
        <v>6</v>
      </c>
      <c r="E5" s="96" t="s">
        <v>7</v>
      </c>
      <c r="F5" s="95" t="s">
        <v>6</v>
      </c>
      <c r="G5" s="96" t="s">
        <v>7</v>
      </c>
      <c r="H5" s="95" t="s">
        <v>6</v>
      </c>
      <c r="I5" s="96" t="s">
        <v>7</v>
      </c>
      <c r="J5" s="95" t="s">
        <v>6</v>
      </c>
      <c r="K5" s="96" t="s">
        <v>7</v>
      </c>
      <c r="L5" s="95" t="s">
        <v>606</v>
      </c>
    </row>
    <row r="6" spans="1:12" x14ac:dyDescent="0.25">
      <c r="A6" s="4" t="s">
        <v>512</v>
      </c>
      <c r="B6" s="97">
        <v>350</v>
      </c>
      <c r="C6" s="98">
        <v>350</v>
      </c>
      <c r="D6" s="97">
        <v>350</v>
      </c>
      <c r="E6" s="98">
        <v>350</v>
      </c>
      <c r="F6" s="97">
        <v>350</v>
      </c>
      <c r="G6" s="98">
        <v>350</v>
      </c>
      <c r="H6" s="97">
        <v>350</v>
      </c>
      <c r="I6" s="98">
        <v>350</v>
      </c>
      <c r="J6" s="97">
        <v>350</v>
      </c>
      <c r="K6" s="98"/>
      <c r="L6" s="97"/>
    </row>
    <row r="7" spans="1:12" x14ac:dyDescent="0.25">
      <c r="A7" s="5" t="s">
        <v>9</v>
      </c>
      <c r="B7" s="97">
        <f t="shared" ref="B7:H7" si="0">B6</f>
        <v>350</v>
      </c>
      <c r="C7" s="98">
        <f t="shared" si="0"/>
        <v>350</v>
      </c>
      <c r="D7" s="97">
        <f t="shared" si="0"/>
        <v>350</v>
      </c>
      <c r="E7" s="98">
        <f t="shared" si="0"/>
        <v>350</v>
      </c>
      <c r="F7" s="97">
        <f t="shared" si="0"/>
        <v>350</v>
      </c>
      <c r="G7" s="98">
        <f t="shared" si="0"/>
        <v>350</v>
      </c>
      <c r="H7" s="97">
        <f t="shared" si="0"/>
        <v>350</v>
      </c>
      <c r="I7" s="98">
        <v>350</v>
      </c>
      <c r="J7" s="114">
        <f>J6</f>
        <v>350</v>
      </c>
      <c r="K7" s="114">
        <f>K6</f>
        <v>0</v>
      </c>
      <c r="L7" s="114">
        <v>350</v>
      </c>
    </row>
  </sheetData>
  <mergeCells count="7">
    <mergeCell ref="J4:K4"/>
    <mergeCell ref="A1:H1"/>
    <mergeCell ref="A2:H2"/>
    <mergeCell ref="D4:E4"/>
    <mergeCell ref="F4:G4"/>
    <mergeCell ref="H4:I4"/>
    <mergeCell ref="B4:C4"/>
  </mergeCells>
  <pageMargins left="0.7" right="0.7" top="0.75" bottom="0.75" header="0.3" footer="0.3"/>
  <pageSetup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FEAA-2504-48E2-87EE-9C4706D09697}">
  <sheetPr>
    <tabColor theme="9" tint="0.39997558519241921"/>
    <pageSetUpPr fitToPage="1"/>
  </sheetPr>
  <dimension ref="A1:N8"/>
  <sheetViews>
    <sheetView zoomScaleNormal="100" workbookViewId="0">
      <selection activeCell="I11" sqref="I11"/>
    </sheetView>
  </sheetViews>
  <sheetFormatPr defaultColWidth="9.140625" defaultRowHeight="15" x14ac:dyDescent="0.25"/>
  <cols>
    <col min="1" max="1" width="22.42578125" style="1" customWidth="1"/>
    <col min="2" max="2" width="13.5703125" style="1" customWidth="1"/>
    <col min="3" max="7" width="10.7109375" style="1" customWidth="1"/>
    <col min="8" max="8" width="10.85546875" style="1" customWidth="1"/>
    <col min="9" max="15" width="10.7109375" style="1" customWidth="1"/>
    <col min="16" max="16384" width="9.140625" style="1"/>
  </cols>
  <sheetData>
    <row r="1" spans="1:14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6"/>
    </row>
    <row r="2" spans="1:14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6"/>
    </row>
    <row r="4" spans="1:14" s="12" customFormat="1" ht="14.25" x14ac:dyDescent="0.2">
      <c r="A4" s="2" t="s">
        <v>83</v>
      </c>
      <c r="B4" s="54"/>
      <c r="C4" s="439" t="s">
        <v>2</v>
      </c>
      <c r="D4" s="440"/>
      <c r="E4" s="439" t="s">
        <v>3</v>
      </c>
      <c r="F4" s="440"/>
      <c r="G4" s="439" t="s">
        <v>4</v>
      </c>
      <c r="H4" s="441"/>
      <c r="I4" s="437" t="s">
        <v>5</v>
      </c>
      <c r="J4" s="437"/>
      <c r="K4" s="206" t="s">
        <v>570</v>
      </c>
    </row>
    <row r="5" spans="1:14" x14ac:dyDescent="0.25">
      <c r="A5" s="4"/>
      <c r="B5" s="17"/>
      <c r="C5" s="116" t="s">
        <v>6</v>
      </c>
      <c r="D5" s="117" t="s">
        <v>7</v>
      </c>
      <c r="E5" s="94" t="s">
        <v>6</v>
      </c>
      <c r="F5" s="117" t="s">
        <v>7</v>
      </c>
      <c r="G5" s="127" t="s">
        <v>6</v>
      </c>
      <c r="H5" s="218" t="s">
        <v>7</v>
      </c>
      <c r="I5" s="81" t="s">
        <v>6</v>
      </c>
      <c r="J5" s="72" t="s">
        <v>594</v>
      </c>
      <c r="K5" s="81" t="s">
        <v>606</v>
      </c>
    </row>
    <row r="6" spans="1:14" x14ac:dyDescent="0.25">
      <c r="A6" s="4" t="s">
        <v>84</v>
      </c>
      <c r="B6" s="17" t="s">
        <v>85</v>
      </c>
      <c r="C6" s="126">
        <v>11000</v>
      </c>
      <c r="D6" s="125">
        <v>8968.5</v>
      </c>
      <c r="E6" s="126">
        <v>10000</v>
      </c>
      <c r="F6" s="125">
        <f>1372.5+1200</f>
        <v>2572.5</v>
      </c>
      <c r="G6" s="126">
        <v>10000</v>
      </c>
      <c r="H6" s="219">
        <v>8650.25</v>
      </c>
      <c r="I6" s="120">
        <v>11000</v>
      </c>
      <c r="J6" s="258">
        <v>3494.05</v>
      </c>
      <c r="K6" s="124">
        <v>10000</v>
      </c>
    </row>
    <row r="8" spans="1:14" x14ac:dyDescent="0.25">
      <c r="A8" s="71" t="s">
        <v>669</v>
      </c>
    </row>
  </sheetData>
  <mergeCells count="6">
    <mergeCell ref="A1:M1"/>
    <mergeCell ref="A2:M2"/>
    <mergeCell ref="C4:D4"/>
    <mergeCell ref="E4:F4"/>
    <mergeCell ref="G4:H4"/>
    <mergeCell ref="I4:J4"/>
  </mergeCells>
  <pageMargins left="0.7" right="0.7" top="0.75" bottom="0.75" header="0.3" footer="0.3"/>
  <pageSetup scale="7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5571-F2CA-480D-A26F-7B3A1713F47C}">
  <sheetPr>
    <tabColor theme="9" tint="0.39997558519241921"/>
    <pageSetUpPr fitToPage="1"/>
  </sheetPr>
  <dimension ref="A1:O23"/>
  <sheetViews>
    <sheetView zoomScale="120" zoomScaleNormal="120" workbookViewId="0">
      <selection activeCell="O12" sqref="O12"/>
    </sheetView>
  </sheetViews>
  <sheetFormatPr defaultColWidth="9.140625" defaultRowHeight="15" x14ac:dyDescent="0.25"/>
  <cols>
    <col min="1" max="1" width="29.7109375" style="1" customWidth="1"/>
    <col min="2" max="2" width="10.5703125" style="1" customWidth="1"/>
    <col min="3" max="7" width="9.140625" style="1" customWidth="1"/>
    <col min="8" max="8" width="12.5703125" style="1" customWidth="1"/>
    <col min="9" max="11" width="9.140625" style="1"/>
    <col min="12" max="12" width="11.28515625" style="1" customWidth="1"/>
    <col min="13" max="13" width="10" style="1" customWidth="1"/>
    <col min="14" max="14" width="9.140625" style="1"/>
    <col min="15" max="15" width="10.140625" style="1" bestFit="1" customWidth="1"/>
    <col min="16" max="16384" width="9.140625" style="1"/>
  </cols>
  <sheetData>
    <row r="1" spans="1:15" x14ac:dyDescent="0.25">
      <c r="A1" s="275" t="s">
        <v>87</v>
      </c>
      <c r="B1" s="448" t="s">
        <v>36</v>
      </c>
      <c r="C1" s="448"/>
      <c r="D1" s="448" t="s">
        <v>12</v>
      </c>
      <c r="E1" s="448"/>
      <c r="F1" s="448" t="s">
        <v>2</v>
      </c>
      <c r="G1" s="448"/>
      <c r="H1" s="448" t="s">
        <v>3</v>
      </c>
      <c r="I1" s="448"/>
      <c r="J1" s="448" t="s">
        <v>4</v>
      </c>
      <c r="K1" s="448"/>
      <c r="L1" s="448" t="s">
        <v>5</v>
      </c>
      <c r="M1" s="448"/>
      <c r="N1" s="448" t="s">
        <v>570</v>
      </c>
      <c r="O1" s="448"/>
    </row>
    <row r="2" spans="1:15" x14ac:dyDescent="0.25">
      <c r="A2" s="276"/>
      <c r="B2" s="277" t="s">
        <v>6</v>
      </c>
      <c r="C2" s="278" t="s">
        <v>7</v>
      </c>
      <c r="D2" s="279" t="s">
        <v>6</v>
      </c>
      <c r="E2" s="278" t="s">
        <v>7</v>
      </c>
      <c r="F2" s="277" t="s">
        <v>6</v>
      </c>
      <c r="G2" s="278" t="s">
        <v>7</v>
      </c>
      <c r="H2" s="277" t="s">
        <v>6</v>
      </c>
      <c r="I2" s="278" t="s">
        <v>7</v>
      </c>
      <c r="J2" s="277" t="s">
        <v>6</v>
      </c>
      <c r="K2" s="280" t="s">
        <v>7</v>
      </c>
      <c r="L2" s="281" t="s">
        <v>666</v>
      </c>
      <c r="M2" s="282" t="s">
        <v>7</v>
      </c>
      <c r="N2" s="281" t="s">
        <v>8</v>
      </c>
      <c r="O2" s="4"/>
    </row>
    <row r="3" spans="1:15" x14ac:dyDescent="0.25">
      <c r="A3" s="276" t="s">
        <v>41</v>
      </c>
      <c r="B3" s="283"/>
      <c r="C3" s="284">
        <v>1421</v>
      </c>
      <c r="D3" s="283"/>
      <c r="E3" s="284">
        <v>962</v>
      </c>
      <c r="F3" s="285">
        <v>0</v>
      </c>
      <c r="G3" s="286">
        <v>448.89</v>
      </c>
      <c r="H3" s="283">
        <v>0</v>
      </c>
      <c r="I3" s="284">
        <v>409.68</v>
      </c>
      <c r="J3" s="283">
        <v>0</v>
      </c>
      <c r="K3" s="287"/>
      <c r="L3" s="288" t="s">
        <v>88</v>
      </c>
      <c r="M3" s="289" t="s">
        <v>88</v>
      </c>
      <c r="N3" s="132"/>
      <c r="O3" s="4"/>
    </row>
    <row r="4" spans="1:15" x14ac:dyDescent="0.25">
      <c r="A4" s="276" t="s">
        <v>645</v>
      </c>
      <c r="B4" s="283">
        <v>5400</v>
      </c>
      <c r="C4" s="284">
        <v>594</v>
      </c>
      <c r="D4" s="285">
        <v>5800</v>
      </c>
      <c r="E4" s="284">
        <v>312</v>
      </c>
      <c r="F4" s="285">
        <v>5800</v>
      </c>
      <c r="G4" s="286">
        <v>0</v>
      </c>
      <c r="H4" s="283" t="s">
        <v>88</v>
      </c>
      <c r="I4" s="284" t="s">
        <v>88</v>
      </c>
      <c r="J4" s="283" t="s">
        <v>88</v>
      </c>
      <c r="K4" s="287" t="s">
        <v>88</v>
      </c>
      <c r="L4" s="288" t="s">
        <v>88</v>
      </c>
      <c r="M4" s="289" t="s">
        <v>88</v>
      </c>
      <c r="N4" s="132"/>
      <c r="O4" s="4"/>
    </row>
    <row r="5" spans="1:15" x14ac:dyDescent="0.25">
      <c r="A5" s="276" t="s">
        <v>89</v>
      </c>
      <c r="B5" s="283">
        <v>7000</v>
      </c>
      <c r="C5" s="284">
        <v>3257</v>
      </c>
      <c r="D5" s="285">
        <v>7000</v>
      </c>
      <c r="E5" s="284">
        <v>1075</v>
      </c>
      <c r="F5" s="285">
        <v>7000</v>
      </c>
      <c r="G5" s="286">
        <v>9854.5</v>
      </c>
      <c r="H5" s="285">
        <v>14651</v>
      </c>
      <c r="I5" s="286">
        <v>14479.64</v>
      </c>
      <c r="J5" s="285">
        <v>13446</v>
      </c>
      <c r="K5" s="290">
        <v>13876</v>
      </c>
      <c r="L5" s="291">
        <v>14000</v>
      </c>
      <c r="M5" s="292">
        <v>5316</v>
      </c>
      <c r="N5" s="291">
        <v>14000</v>
      </c>
      <c r="O5" s="4"/>
    </row>
    <row r="6" spans="1:15" x14ac:dyDescent="0.25">
      <c r="A6" s="276" t="s">
        <v>90</v>
      </c>
      <c r="B6" s="283">
        <v>7400</v>
      </c>
      <c r="C6" s="284">
        <v>6751</v>
      </c>
      <c r="D6" s="285">
        <v>15240</v>
      </c>
      <c r="E6" s="284">
        <v>16257</v>
      </c>
      <c r="F6" s="285">
        <v>15240</v>
      </c>
      <c r="G6" s="293">
        <v>17599.400000000001</v>
      </c>
      <c r="H6" s="294">
        <v>17780</v>
      </c>
      <c r="I6" s="293">
        <v>16339.52</v>
      </c>
      <c r="J6" s="294">
        <v>22140</v>
      </c>
      <c r="K6" s="295">
        <v>21032</v>
      </c>
      <c r="L6" s="296">
        <v>26742</v>
      </c>
      <c r="M6" s="292">
        <f>12517-150</f>
        <v>12367</v>
      </c>
      <c r="N6" s="297">
        <f>H23</f>
        <v>28825</v>
      </c>
      <c r="O6" s="48"/>
    </row>
    <row r="7" spans="1:15" x14ac:dyDescent="0.25">
      <c r="A7" s="276" t="s">
        <v>91</v>
      </c>
      <c r="B7" s="283">
        <v>2000</v>
      </c>
      <c r="C7" s="284">
        <v>7343</v>
      </c>
      <c r="D7" s="285">
        <v>1940</v>
      </c>
      <c r="E7" s="284">
        <v>380</v>
      </c>
      <c r="F7" s="285">
        <v>380</v>
      </c>
      <c r="G7" s="286">
        <v>1159</v>
      </c>
      <c r="H7" s="285">
        <v>2000</v>
      </c>
      <c r="I7" s="286">
        <v>1199</v>
      </c>
      <c r="J7" s="285">
        <v>2000</v>
      </c>
      <c r="K7" s="290">
        <v>1875</v>
      </c>
      <c r="L7" s="291">
        <v>2000</v>
      </c>
      <c r="M7" s="292">
        <v>1005</v>
      </c>
      <c r="N7" s="291">
        <v>2000</v>
      </c>
      <c r="O7" s="4"/>
    </row>
    <row r="8" spans="1:15" x14ac:dyDescent="0.25">
      <c r="A8" s="276" t="s">
        <v>81</v>
      </c>
      <c r="B8" s="283"/>
      <c r="C8" s="284"/>
      <c r="D8" s="285"/>
      <c r="E8" s="284">
        <v>10618</v>
      </c>
      <c r="F8" s="283" t="s">
        <v>88</v>
      </c>
      <c r="G8" s="284" t="s">
        <v>88</v>
      </c>
      <c r="H8" s="283" t="s">
        <v>88</v>
      </c>
      <c r="I8" s="284" t="s">
        <v>88</v>
      </c>
      <c r="J8" s="283" t="s">
        <v>88</v>
      </c>
      <c r="K8" s="287" t="s">
        <v>88</v>
      </c>
      <c r="L8" s="288" t="s">
        <v>88</v>
      </c>
      <c r="M8" s="289" t="s">
        <v>88</v>
      </c>
      <c r="N8" s="132"/>
      <c r="O8" s="4"/>
    </row>
    <row r="9" spans="1:15" x14ac:dyDescent="0.25">
      <c r="A9" s="298" t="s">
        <v>9</v>
      </c>
      <c r="B9" s="299">
        <f t="shared" ref="B9:N9" si="0">SUM(B3:B8)</f>
        <v>21800</v>
      </c>
      <c r="C9" s="300">
        <f t="shared" si="0"/>
        <v>19366</v>
      </c>
      <c r="D9" s="299">
        <f t="shared" si="0"/>
        <v>29980</v>
      </c>
      <c r="E9" s="300">
        <f t="shared" si="0"/>
        <v>29604</v>
      </c>
      <c r="F9" s="299">
        <f t="shared" si="0"/>
        <v>28420</v>
      </c>
      <c r="G9" s="300">
        <f t="shared" si="0"/>
        <v>29061.79</v>
      </c>
      <c r="H9" s="299">
        <f t="shared" si="0"/>
        <v>34431</v>
      </c>
      <c r="I9" s="300">
        <f t="shared" si="0"/>
        <v>32427.84</v>
      </c>
      <c r="J9" s="299">
        <f t="shared" si="0"/>
        <v>37586</v>
      </c>
      <c r="K9" s="301">
        <f t="shared" si="0"/>
        <v>36783</v>
      </c>
      <c r="L9" s="302">
        <f t="shared" si="0"/>
        <v>42742</v>
      </c>
      <c r="M9" s="303">
        <f t="shared" si="0"/>
        <v>18688</v>
      </c>
      <c r="N9" s="302">
        <f t="shared" si="0"/>
        <v>44825</v>
      </c>
      <c r="O9" s="4"/>
    </row>
    <row r="10" spans="1:15" x14ac:dyDescent="0.25">
      <c r="A10" s="304" t="s">
        <v>9</v>
      </c>
    </row>
    <row r="11" spans="1:15" x14ac:dyDescent="0.25">
      <c r="A11" s="304" t="s">
        <v>92</v>
      </c>
    </row>
    <row r="13" spans="1:15" x14ac:dyDescent="0.25">
      <c r="A13" s="257" t="s">
        <v>667</v>
      </c>
    </row>
    <row r="15" spans="1:15" x14ac:dyDescent="0.25">
      <c r="A15" s="59" t="s">
        <v>713</v>
      </c>
      <c r="H15" s="56">
        <v>9205</v>
      </c>
    </row>
    <row r="16" spans="1:15" x14ac:dyDescent="0.25">
      <c r="A16" s="59" t="s">
        <v>803</v>
      </c>
      <c r="H16" s="56">
        <v>2040</v>
      </c>
    </row>
    <row r="17" spans="1:8" x14ac:dyDescent="0.25">
      <c r="A17" s="1" t="s">
        <v>804</v>
      </c>
      <c r="H17" s="56">
        <v>3780</v>
      </c>
    </row>
    <row r="18" spans="1:8" x14ac:dyDescent="0.25">
      <c r="A18" s="1" t="s">
        <v>714</v>
      </c>
      <c r="H18" s="56">
        <v>1200</v>
      </c>
    </row>
    <row r="19" spans="1:8" x14ac:dyDescent="0.25">
      <c r="A19" s="1" t="s">
        <v>715</v>
      </c>
      <c r="H19" s="56">
        <v>5000</v>
      </c>
    </row>
    <row r="20" spans="1:8" x14ac:dyDescent="0.25">
      <c r="A20" s="1" t="s">
        <v>716</v>
      </c>
      <c r="H20" s="56">
        <v>1000</v>
      </c>
    </row>
    <row r="21" spans="1:8" x14ac:dyDescent="0.25">
      <c r="A21" s="1" t="s">
        <v>717</v>
      </c>
      <c r="H21" s="56">
        <v>1200</v>
      </c>
    </row>
    <row r="22" spans="1:8" x14ac:dyDescent="0.25">
      <c r="A22" s="1" t="s">
        <v>718</v>
      </c>
      <c r="H22" s="56">
        <v>5400</v>
      </c>
    </row>
    <row r="23" spans="1:8" x14ac:dyDescent="0.25">
      <c r="A23" s="1" t="s">
        <v>497</v>
      </c>
      <c r="H23" s="56">
        <f>SUM(H15:H22)</f>
        <v>28825</v>
      </c>
    </row>
  </sheetData>
  <mergeCells count="7">
    <mergeCell ref="L1:M1"/>
    <mergeCell ref="N1:O1"/>
    <mergeCell ref="B1:C1"/>
    <mergeCell ref="D1:E1"/>
    <mergeCell ref="F1:G1"/>
    <mergeCell ref="H1:I1"/>
    <mergeCell ref="J1:K1"/>
  </mergeCells>
  <pageMargins left="0.7" right="0.7" top="0.75" bottom="0.75" header="0.3" footer="0.3"/>
  <pageSetup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A9B4A-7CE0-496C-8FA7-94A982C9F726}">
  <sheetPr>
    <tabColor theme="9" tint="0.39997558519241921"/>
    <pageSetUpPr fitToPage="1"/>
  </sheetPr>
  <dimension ref="A1:K24"/>
  <sheetViews>
    <sheetView workbookViewId="0">
      <selection activeCell="F25" sqref="F25"/>
    </sheetView>
  </sheetViews>
  <sheetFormatPr defaultColWidth="9.140625" defaultRowHeight="15" x14ac:dyDescent="0.25"/>
  <cols>
    <col min="1" max="1" width="27.28515625" style="1" customWidth="1"/>
    <col min="2" max="2" width="20.5703125" style="1" customWidth="1"/>
    <col min="3" max="8" width="10.7109375" style="1" customWidth="1"/>
    <col min="9" max="9" width="11.42578125" style="1" customWidth="1"/>
    <col min="10" max="10" width="11.5703125" style="1" customWidth="1"/>
    <col min="11" max="11" width="12.140625" style="1" customWidth="1"/>
    <col min="12" max="12" width="11.5703125" style="1" customWidth="1"/>
    <col min="13" max="16384" width="9.140625" style="1"/>
  </cols>
  <sheetData>
    <row r="1" spans="1:10" ht="13.9" customHeight="1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</row>
    <row r="2" spans="1:10" ht="13.9" customHeight="1" x14ac:dyDescent="0.25">
      <c r="A2" s="438" t="s">
        <v>580</v>
      </c>
      <c r="B2" s="438"/>
      <c r="C2" s="438"/>
      <c r="D2" s="438"/>
      <c r="E2" s="438"/>
      <c r="F2" s="438"/>
      <c r="G2" s="438"/>
      <c r="H2" s="438"/>
      <c r="I2" s="438"/>
      <c r="J2" s="438"/>
    </row>
    <row r="4" spans="1:10" s="12" customFormat="1" ht="14.25" x14ac:dyDescent="0.2">
      <c r="A4" s="2" t="s">
        <v>93</v>
      </c>
      <c r="B4" s="2" t="s">
        <v>93</v>
      </c>
      <c r="C4" s="437" t="s">
        <v>3</v>
      </c>
      <c r="D4" s="437"/>
      <c r="E4" s="437" t="s">
        <v>4</v>
      </c>
      <c r="F4" s="437"/>
      <c r="G4" s="437" t="s">
        <v>5</v>
      </c>
      <c r="H4" s="437"/>
      <c r="I4" s="10" t="s">
        <v>570</v>
      </c>
    </row>
    <row r="5" spans="1:10" ht="13.9" customHeight="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8</v>
      </c>
    </row>
    <row r="6" spans="1:10" ht="13.9" customHeight="1" x14ac:dyDescent="0.25">
      <c r="A6" s="4" t="s">
        <v>94</v>
      </c>
      <c r="B6" s="4" t="s">
        <v>339</v>
      </c>
      <c r="C6" s="86">
        <v>34513</v>
      </c>
      <c r="D6" s="75">
        <v>34868</v>
      </c>
      <c r="E6" s="86">
        <v>37500</v>
      </c>
      <c r="F6" s="75">
        <v>30572.799999999999</v>
      </c>
      <c r="G6" s="86">
        <v>40382</v>
      </c>
      <c r="H6" s="75">
        <v>17968.73</v>
      </c>
      <c r="I6" s="86">
        <v>38625</v>
      </c>
      <c r="J6" s="56"/>
    </row>
    <row r="7" spans="1:10" ht="13.9" customHeight="1" x14ac:dyDescent="0.25">
      <c r="A7" s="4" t="s">
        <v>514</v>
      </c>
      <c r="B7" s="4" t="s">
        <v>95</v>
      </c>
      <c r="C7" s="86">
        <v>0</v>
      </c>
      <c r="D7" s="75">
        <v>840.68</v>
      </c>
      <c r="E7" s="86">
        <v>0</v>
      </c>
      <c r="F7" s="75">
        <v>6927.2</v>
      </c>
      <c r="G7" s="86">
        <v>0</v>
      </c>
      <c r="H7" s="75">
        <v>0</v>
      </c>
      <c r="I7" s="86">
        <v>0</v>
      </c>
    </row>
    <row r="8" spans="1:10" s="12" customFormat="1" ht="14.25" x14ac:dyDescent="0.2">
      <c r="A8" s="11" t="s">
        <v>75</v>
      </c>
      <c r="B8" s="11"/>
      <c r="C8" s="88">
        <f t="shared" ref="C8:H8" si="0">C6+C7</f>
        <v>34513</v>
      </c>
      <c r="D8" s="89">
        <f t="shared" si="0"/>
        <v>35708.68</v>
      </c>
      <c r="E8" s="88">
        <f t="shared" si="0"/>
        <v>37500</v>
      </c>
      <c r="F8" s="89">
        <f t="shared" si="0"/>
        <v>37500</v>
      </c>
      <c r="G8" s="88">
        <v>40382.4375</v>
      </c>
      <c r="H8" s="89">
        <f t="shared" si="0"/>
        <v>17968.73</v>
      </c>
      <c r="I8" s="88">
        <v>38625</v>
      </c>
    </row>
    <row r="9" spans="1:10" ht="13.9" customHeight="1" x14ac:dyDescent="0.25">
      <c r="A9" s="4" t="s">
        <v>96</v>
      </c>
      <c r="B9" s="4" t="s">
        <v>20</v>
      </c>
      <c r="C9" s="86"/>
      <c r="D9" s="75"/>
      <c r="E9" s="86">
        <v>1500</v>
      </c>
      <c r="F9" s="75">
        <v>196</v>
      </c>
      <c r="G9" s="86">
        <v>1500</v>
      </c>
      <c r="H9" s="75">
        <v>0</v>
      </c>
      <c r="I9" s="86">
        <v>500</v>
      </c>
    </row>
    <row r="10" spans="1:10" ht="13.9" customHeight="1" x14ac:dyDescent="0.25">
      <c r="A10" s="4" t="s">
        <v>97</v>
      </c>
      <c r="B10" s="4" t="s">
        <v>98</v>
      </c>
      <c r="C10" s="86">
        <v>50</v>
      </c>
      <c r="D10" s="75">
        <v>0</v>
      </c>
      <c r="E10" s="86">
        <v>50</v>
      </c>
      <c r="F10" s="75">
        <v>0</v>
      </c>
      <c r="G10" s="86">
        <v>50</v>
      </c>
      <c r="H10" s="75">
        <v>0</v>
      </c>
      <c r="I10" s="86">
        <v>50</v>
      </c>
    </row>
    <row r="11" spans="1:10" ht="13.9" customHeight="1" x14ac:dyDescent="0.25">
      <c r="A11" s="4" t="s">
        <v>99</v>
      </c>
      <c r="B11" s="4" t="s">
        <v>22</v>
      </c>
      <c r="C11" s="86">
        <v>900</v>
      </c>
      <c r="D11" s="75">
        <v>910</v>
      </c>
      <c r="E11" s="86">
        <v>1000</v>
      </c>
      <c r="F11" s="75">
        <v>996</v>
      </c>
      <c r="G11" s="86">
        <v>1200</v>
      </c>
      <c r="H11" s="75">
        <v>1390</v>
      </c>
      <c r="I11" s="86">
        <v>1200</v>
      </c>
    </row>
    <row r="12" spans="1:10" ht="13.9" customHeight="1" x14ac:dyDescent="0.25">
      <c r="A12" s="4" t="s">
        <v>100</v>
      </c>
      <c r="B12" s="4" t="s">
        <v>76</v>
      </c>
      <c r="C12" s="86">
        <v>400</v>
      </c>
      <c r="D12" s="75">
        <v>280</v>
      </c>
      <c r="E12" s="86">
        <v>400</v>
      </c>
      <c r="F12" s="75">
        <v>270</v>
      </c>
      <c r="G12" s="86">
        <v>400</v>
      </c>
      <c r="H12" s="75">
        <v>255</v>
      </c>
      <c r="I12" s="86">
        <v>300</v>
      </c>
    </row>
    <row r="13" spans="1:10" ht="13.9" customHeight="1" x14ac:dyDescent="0.25">
      <c r="A13" s="4" t="s">
        <v>101</v>
      </c>
      <c r="B13" s="4" t="s">
        <v>77</v>
      </c>
      <c r="C13" s="86">
        <v>2100</v>
      </c>
      <c r="D13" s="75">
        <v>0</v>
      </c>
      <c r="E13" s="86">
        <v>2100</v>
      </c>
      <c r="F13" s="75">
        <v>608.54999999999995</v>
      </c>
      <c r="G13" s="86">
        <v>2100</v>
      </c>
      <c r="H13" s="75">
        <v>13</v>
      </c>
      <c r="I13" s="86">
        <v>1000</v>
      </c>
    </row>
    <row r="14" spans="1:10" ht="13.9" customHeight="1" x14ac:dyDescent="0.25">
      <c r="A14" s="4" t="s">
        <v>102</v>
      </c>
      <c r="B14" s="4" t="s">
        <v>79</v>
      </c>
      <c r="C14" s="86">
        <v>1700</v>
      </c>
      <c r="D14" s="75">
        <v>311.8</v>
      </c>
      <c r="E14" s="86">
        <v>1700</v>
      </c>
      <c r="F14" s="75">
        <v>330</v>
      </c>
      <c r="G14" s="86">
        <v>1500</v>
      </c>
      <c r="H14" s="75">
        <v>952.3</v>
      </c>
      <c r="I14" s="86">
        <v>1500</v>
      </c>
    </row>
    <row r="15" spans="1:10" ht="13.9" customHeight="1" x14ac:dyDescent="0.25">
      <c r="A15" s="4" t="s">
        <v>103</v>
      </c>
      <c r="B15" s="4" t="s">
        <v>24</v>
      </c>
      <c r="C15" s="86">
        <v>500</v>
      </c>
      <c r="D15" s="75">
        <v>357.83</v>
      </c>
      <c r="E15" s="86">
        <v>500</v>
      </c>
      <c r="F15" s="75">
        <v>925.79</v>
      </c>
      <c r="G15" s="86">
        <v>500</v>
      </c>
      <c r="H15" s="75">
        <v>468.74</v>
      </c>
      <c r="I15" s="86">
        <v>500</v>
      </c>
    </row>
    <row r="16" spans="1:10" ht="13.9" customHeight="1" x14ac:dyDescent="0.25">
      <c r="A16" s="4" t="s">
        <v>646</v>
      </c>
      <c r="B16" s="4" t="s">
        <v>191</v>
      </c>
      <c r="C16" s="86"/>
      <c r="D16" s="75"/>
      <c r="E16" s="86"/>
      <c r="F16" s="75"/>
      <c r="G16" s="86">
        <v>0</v>
      </c>
      <c r="H16" s="75">
        <v>1553.29</v>
      </c>
      <c r="I16" s="86">
        <v>2300</v>
      </c>
    </row>
    <row r="17" spans="1:11" x14ac:dyDescent="0.25">
      <c r="A17" s="4" t="s">
        <v>104</v>
      </c>
      <c r="B17" s="4" t="s">
        <v>105</v>
      </c>
      <c r="C17" s="86">
        <v>500</v>
      </c>
      <c r="D17" s="75">
        <v>0</v>
      </c>
      <c r="E17" s="86">
        <v>500</v>
      </c>
      <c r="F17" s="75">
        <v>0</v>
      </c>
      <c r="G17" s="86">
        <v>500</v>
      </c>
      <c r="H17" s="75">
        <v>0</v>
      </c>
      <c r="I17" s="86">
        <v>0</v>
      </c>
    </row>
    <row r="18" spans="1:11" s="12" customFormat="1" ht="14.25" x14ac:dyDescent="0.2">
      <c r="A18" s="11" t="s">
        <v>82</v>
      </c>
      <c r="B18" s="11"/>
      <c r="C18" s="91">
        <f>SUM(C9:C17)</f>
        <v>6150</v>
      </c>
      <c r="D18" s="92">
        <f>SUM(D9:D17)</f>
        <v>1859.6299999999999</v>
      </c>
      <c r="E18" s="91">
        <f>SUM(E9:E17)</f>
        <v>7750</v>
      </c>
      <c r="F18" s="92">
        <f>SUM(F9:F17)+2795</f>
        <v>6121.34</v>
      </c>
      <c r="G18" s="91">
        <v>7750</v>
      </c>
      <c r="H18" s="92">
        <f>SUM(H9:H17)+2795</f>
        <v>7427.33</v>
      </c>
      <c r="I18" s="92">
        <f>SUM(I9:I17)+2795</f>
        <v>10145</v>
      </c>
    </row>
    <row r="19" spans="1:11" s="12" customFormat="1" ht="13.9" customHeight="1" x14ac:dyDescent="0.2">
      <c r="A19" s="11" t="s">
        <v>9</v>
      </c>
      <c r="B19" s="11" t="s">
        <v>9</v>
      </c>
      <c r="C19" s="90">
        <f>C8+C18</f>
        <v>40663</v>
      </c>
      <c r="D19" s="74">
        <f>D8+D18</f>
        <v>37568.31</v>
      </c>
      <c r="E19" s="90">
        <f>E8+E18</f>
        <v>45250</v>
      </c>
      <c r="F19" s="74">
        <f>F8+F18</f>
        <v>43621.34</v>
      </c>
      <c r="G19" s="90">
        <v>48132.4375</v>
      </c>
      <c r="H19" s="74">
        <f>H8+H18</f>
        <v>25396.059999999998</v>
      </c>
      <c r="I19" s="74">
        <f>I8+I18</f>
        <v>48770</v>
      </c>
    </row>
    <row r="20" spans="1:11" ht="13.9" customHeight="1" x14ac:dyDescent="0.25">
      <c r="K20" s="176"/>
    </row>
    <row r="21" spans="1:11" ht="13.9" customHeight="1" x14ac:dyDescent="0.25">
      <c r="A21" s="59" t="s">
        <v>577</v>
      </c>
      <c r="B21" s="56"/>
      <c r="F21" s="56"/>
    </row>
    <row r="22" spans="1:11" x14ac:dyDescent="0.25">
      <c r="A22" s="59" t="s">
        <v>581</v>
      </c>
      <c r="B22" s="56"/>
      <c r="E22" s="56"/>
    </row>
    <row r="24" spans="1:11" x14ac:dyDescent="0.25">
      <c r="F24" s="56"/>
    </row>
  </sheetData>
  <mergeCells count="5">
    <mergeCell ref="A1:J1"/>
    <mergeCell ref="A2:J2"/>
    <mergeCell ref="C4:D4"/>
    <mergeCell ref="E4:F4"/>
    <mergeCell ref="G4:H4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91FF2-D24D-4C18-B117-348C624418C3}">
  <sheetPr>
    <tabColor theme="9" tint="0.39997558519241921"/>
  </sheetPr>
  <dimension ref="A1:L10"/>
  <sheetViews>
    <sheetView workbookViewId="0">
      <selection activeCell="F24" sqref="F24"/>
    </sheetView>
  </sheetViews>
  <sheetFormatPr defaultColWidth="9.140625" defaultRowHeight="15" x14ac:dyDescent="0.25"/>
  <cols>
    <col min="1" max="1" width="24.7109375" customWidth="1"/>
    <col min="2" max="2" width="15" customWidth="1"/>
    <col min="3" max="3" width="10.140625" bestFit="1" customWidth="1"/>
    <col min="4" max="4" width="9.28515625" bestFit="1" customWidth="1"/>
    <col min="5" max="5" width="10.140625" bestFit="1" customWidth="1"/>
    <col min="6" max="6" width="9.28515625" bestFit="1" customWidth="1"/>
    <col min="7" max="8" width="10.140625" bestFit="1" customWidth="1"/>
    <col min="9" max="9" width="11.42578125" customWidth="1"/>
    <col min="10" max="10" width="10.140625" bestFit="1" customWidth="1"/>
    <col min="11" max="11" width="9.28515625" bestFit="1" customWidth="1"/>
    <col min="12" max="12" width="10" customWidth="1"/>
  </cols>
  <sheetData>
    <row r="1" spans="1:12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</row>
    <row r="2" spans="1:12" x14ac:dyDescent="0.25">
      <c r="A2" s="438" t="s">
        <v>580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</row>
    <row r="4" spans="1:12" x14ac:dyDescent="0.25">
      <c r="A4" s="2" t="s">
        <v>106</v>
      </c>
      <c r="B4" s="61"/>
      <c r="C4" s="439" t="s">
        <v>3</v>
      </c>
      <c r="D4" s="440"/>
      <c r="E4" s="439" t="s">
        <v>4</v>
      </c>
      <c r="F4" s="441"/>
      <c r="G4" s="437" t="s">
        <v>5</v>
      </c>
      <c r="H4" s="437"/>
      <c r="I4" s="220" t="s">
        <v>570</v>
      </c>
    </row>
    <row r="5" spans="1:12" x14ac:dyDescent="0.25">
      <c r="A5" s="4"/>
      <c r="B5" s="17"/>
      <c r="C5" s="130" t="s">
        <v>6</v>
      </c>
      <c r="D5" s="117" t="s">
        <v>7</v>
      </c>
      <c r="E5" s="130" t="s">
        <v>6</v>
      </c>
      <c r="F5" s="117" t="s">
        <v>7</v>
      </c>
      <c r="G5" s="94" t="s">
        <v>6</v>
      </c>
      <c r="H5" s="117" t="s">
        <v>7</v>
      </c>
      <c r="I5" s="94" t="s">
        <v>8</v>
      </c>
    </row>
    <row r="6" spans="1:12" x14ac:dyDescent="0.25">
      <c r="A6" s="4" t="s">
        <v>515</v>
      </c>
      <c r="B6" s="17" t="s">
        <v>339</v>
      </c>
      <c r="C6" s="128">
        <v>1000</v>
      </c>
      <c r="D6" s="118">
        <v>1000</v>
      </c>
      <c r="E6" s="128">
        <v>1000</v>
      </c>
      <c r="F6" s="118">
        <v>1000</v>
      </c>
      <c r="G6" s="221">
        <v>1200</v>
      </c>
      <c r="H6" s="118">
        <v>1200</v>
      </c>
      <c r="I6" s="221">
        <v>1200</v>
      </c>
    </row>
    <row r="7" spans="1:12" x14ac:dyDescent="0.25">
      <c r="A7" s="4" t="s">
        <v>107</v>
      </c>
      <c r="B7" s="17" t="s">
        <v>52</v>
      </c>
      <c r="C7" s="128">
        <v>500</v>
      </c>
      <c r="D7" s="118">
        <v>457.04</v>
      </c>
      <c r="E7" s="128">
        <v>500</v>
      </c>
      <c r="F7" s="118">
        <v>425.74</v>
      </c>
      <c r="G7" s="222">
        <v>500</v>
      </c>
      <c r="H7" s="118"/>
      <c r="I7" s="222">
        <v>500</v>
      </c>
    </row>
    <row r="8" spans="1:12" x14ac:dyDescent="0.25">
      <c r="A8" s="4"/>
      <c r="B8" s="17"/>
      <c r="C8" s="128"/>
      <c r="D8" s="118"/>
      <c r="E8" s="128"/>
      <c r="F8" s="118"/>
      <c r="G8" s="222"/>
      <c r="H8" s="118"/>
      <c r="I8" s="222"/>
    </row>
    <row r="9" spans="1:12" x14ac:dyDescent="0.25">
      <c r="A9" s="5" t="s">
        <v>9</v>
      </c>
      <c r="B9" s="54"/>
      <c r="C9" s="129">
        <f t="shared" ref="C9:G9" si="0">SUM(C6:C7)</f>
        <v>1500</v>
      </c>
      <c r="D9" s="131">
        <f t="shared" si="0"/>
        <v>1457.04</v>
      </c>
      <c r="E9" s="129">
        <f t="shared" si="0"/>
        <v>1500</v>
      </c>
      <c r="F9" s="131">
        <f t="shared" si="0"/>
        <v>1425.74</v>
      </c>
      <c r="G9" s="223">
        <f t="shared" si="0"/>
        <v>1700</v>
      </c>
      <c r="H9" s="131">
        <f t="shared" ref="H9:I9" si="1">SUM(H6:H7)</f>
        <v>1200</v>
      </c>
      <c r="I9" s="223">
        <f t="shared" si="1"/>
        <v>1700</v>
      </c>
    </row>
    <row r="10" spans="1:12" x14ac:dyDescent="0.25">
      <c r="A10" s="59"/>
    </row>
  </sheetData>
  <mergeCells count="5">
    <mergeCell ref="C4:D4"/>
    <mergeCell ref="E4:F4"/>
    <mergeCell ref="G4:H4"/>
    <mergeCell ref="A1:L1"/>
    <mergeCell ref="A2:L2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B233-91F8-4D35-8DE5-0C1CAD569FC7}">
  <sheetPr>
    <tabColor theme="9" tint="0.39997558519241921"/>
  </sheetPr>
  <dimension ref="A1:M18"/>
  <sheetViews>
    <sheetView workbookViewId="0">
      <selection activeCell="I15" sqref="I15"/>
    </sheetView>
  </sheetViews>
  <sheetFormatPr defaultColWidth="9.140625" defaultRowHeight="15" x14ac:dyDescent="0.25"/>
  <cols>
    <col min="1" max="1" width="25.5703125" customWidth="1"/>
    <col min="2" max="2" width="22.42578125" customWidth="1"/>
    <col min="3" max="3" width="10.140625" bestFit="1" customWidth="1"/>
    <col min="4" max="4" width="9.28515625" bestFit="1" customWidth="1"/>
    <col min="5" max="5" width="10.140625" bestFit="1" customWidth="1"/>
    <col min="6" max="6" width="9.28515625" bestFit="1" customWidth="1"/>
    <col min="7" max="8" width="10.140625" bestFit="1" customWidth="1"/>
    <col min="9" max="9" width="10.7109375" customWidth="1"/>
    <col min="10" max="12" width="10.140625" bestFit="1" customWidth="1"/>
    <col min="13" max="13" width="11.28515625" bestFit="1" customWidth="1"/>
    <col min="14" max="15" width="9.28515625" bestFit="1" customWidth="1"/>
  </cols>
  <sheetData>
    <row r="1" spans="1:13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1:13" x14ac:dyDescent="0.25">
      <c r="A2" s="438" t="s">
        <v>580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" t="s">
        <v>108</v>
      </c>
      <c r="B4" s="62"/>
      <c r="C4" s="437" t="s">
        <v>3</v>
      </c>
      <c r="D4" s="437"/>
      <c r="E4" s="442" t="s">
        <v>4</v>
      </c>
      <c r="F4" s="443"/>
      <c r="G4" s="437" t="s">
        <v>5</v>
      </c>
      <c r="H4" s="437"/>
      <c r="I4" s="11" t="s">
        <v>570</v>
      </c>
    </row>
    <row r="5" spans="1:13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8</v>
      </c>
    </row>
    <row r="6" spans="1:13" x14ac:dyDescent="0.25">
      <c r="A6" s="11" t="s">
        <v>109</v>
      </c>
      <c r="B6" s="11" t="s">
        <v>95</v>
      </c>
      <c r="C6" s="88">
        <v>5100</v>
      </c>
      <c r="D6" s="89">
        <v>5314</v>
      </c>
      <c r="E6" s="88">
        <v>5100</v>
      </c>
      <c r="F6" s="272">
        <v>1368.75</v>
      </c>
      <c r="G6" s="88">
        <v>5100</v>
      </c>
      <c r="H6" s="272">
        <v>4041.15</v>
      </c>
      <c r="I6" s="88">
        <v>5000</v>
      </c>
    </row>
    <row r="7" spans="1:13" x14ac:dyDescent="0.25">
      <c r="A7" s="4" t="s">
        <v>110</v>
      </c>
      <c r="B7" s="4" t="s">
        <v>111</v>
      </c>
      <c r="C7" s="82"/>
      <c r="D7" s="83"/>
      <c r="E7" s="86">
        <v>0</v>
      </c>
      <c r="F7" s="76">
        <v>200</v>
      </c>
      <c r="G7" s="86"/>
      <c r="H7" s="76"/>
      <c r="I7" s="86">
        <v>0</v>
      </c>
    </row>
    <row r="8" spans="1:13" x14ac:dyDescent="0.25">
      <c r="A8" s="4" t="s">
        <v>112</v>
      </c>
      <c r="B8" s="4" t="s">
        <v>647</v>
      </c>
      <c r="C8" s="82"/>
      <c r="D8" s="83"/>
      <c r="E8" s="86">
        <v>500</v>
      </c>
      <c r="F8" s="76">
        <v>550</v>
      </c>
      <c r="G8" s="86">
        <v>500</v>
      </c>
      <c r="H8" s="76">
        <v>500</v>
      </c>
      <c r="I8" s="86">
        <v>1000</v>
      </c>
    </row>
    <row r="9" spans="1:13" x14ac:dyDescent="0.25">
      <c r="A9" s="4" t="s">
        <v>113</v>
      </c>
      <c r="B9" s="4" t="s">
        <v>114</v>
      </c>
      <c r="C9" s="82"/>
      <c r="D9" s="83"/>
      <c r="E9" s="86">
        <v>0</v>
      </c>
      <c r="F9" s="76"/>
      <c r="G9" s="86"/>
      <c r="H9" s="76"/>
      <c r="I9" s="86"/>
    </row>
    <row r="10" spans="1:13" x14ac:dyDescent="0.25">
      <c r="A10" s="4" t="s">
        <v>115</v>
      </c>
      <c r="B10" s="4" t="s">
        <v>52</v>
      </c>
      <c r="C10" s="82">
        <v>3000</v>
      </c>
      <c r="D10" s="83">
        <v>1984.41</v>
      </c>
      <c r="E10" s="86">
        <v>3000</v>
      </c>
      <c r="F10" s="76">
        <v>2932.19</v>
      </c>
      <c r="G10" s="86">
        <v>3000</v>
      </c>
      <c r="H10" s="76">
        <v>508.89</v>
      </c>
      <c r="I10" s="86">
        <v>500</v>
      </c>
    </row>
    <row r="11" spans="1:13" x14ac:dyDescent="0.25">
      <c r="A11" s="4" t="s">
        <v>648</v>
      </c>
      <c r="B11" s="4" t="s">
        <v>649</v>
      </c>
      <c r="C11" s="82"/>
      <c r="D11" s="83"/>
      <c r="E11" s="86"/>
      <c r="F11" s="76"/>
      <c r="G11" s="86">
        <v>0</v>
      </c>
      <c r="H11" s="76">
        <v>2563</v>
      </c>
      <c r="I11" s="86">
        <v>3500</v>
      </c>
    </row>
    <row r="12" spans="1:13" x14ac:dyDescent="0.25">
      <c r="A12" s="4" t="s">
        <v>116</v>
      </c>
      <c r="B12" s="4" t="s">
        <v>117</v>
      </c>
      <c r="C12" s="82"/>
      <c r="D12" s="83"/>
      <c r="E12" s="86">
        <v>5700</v>
      </c>
      <c r="F12" s="76">
        <v>4900</v>
      </c>
      <c r="G12" s="86">
        <v>1000</v>
      </c>
      <c r="H12" s="76"/>
      <c r="I12" s="86">
        <v>0</v>
      </c>
    </row>
    <row r="13" spans="1:13" x14ac:dyDescent="0.25">
      <c r="A13" s="4" t="s">
        <v>118</v>
      </c>
      <c r="B13" s="4" t="s">
        <v>345</v>
      </c>
      <c r="C13" s="82"/>
      <c r="D13" s="83"/>
      <c r="E13" s="86"/>
      <c r="F13" s="76"/>
      <c r="G13" s="86"/>
      <c r="H13" s="76"/>
      <c r="I13" s="86"/>
    </row>
    <row r="14" spans="1:13" x14ac:dyDescent="0.25">
      <c r="A14" s="11" t="s">
        <v>82</v>
      </c>
      <c r="B14" s="11"/>
      <c r="C14" s="88">
        <f t="shared" ref="C14:I14" si="0">SUM(C7:C13)</f>
        <v>3000</v>
      </c>
      <c r="D14" s="89">
        <f t="shared" si="0"/>
        <v>1984.41</v>
      </c>
      <c r="E14" s="88">
        <f t="shared" si="0"/>
        <v>9200</v>
      </c>
      <c r="F14" s="89">
        <f t="shared" si="0"/>
        <v>8582.19</v>
      </c>
      <c r="G14" s="88">
        <f t="shared" si="0"/>
        <v>4500</v>
      </c>
      <c r="H14" s="89">
        <f t="shared" si="0"/>
        <v>3571.89</v>
      </c>
      <c r="I14" s="88">
        <f t="shared" si="0"/>
        <v>5000</v>
      </c>
    </row>
    <row r="15" spans="1:13" x14ac:dyDescent="0.25">
      <c r="A15" s="5" t="s">
        <v>9</v>
      </c>
      <c r="B15" s="11"/>
      <c r="C15" s="90">
        <f t="shared" ref="C15:I15" si="1">C6+C14</f>
        <v>8100</v>
      </c>
      <c r="D15" s="74">
        <f t="shared" si="1"/>
        <v>7298.41</v>
      </c>
      <c r="E15" s="90">
        <f t="shared" si="1"/>
        <v>14300</v>
      </c>
      <c r="F15" s="74">
        <f t="shared" si="1"/>
        <v>9950.94</v>
      </c>
      <c r="G15" s="90">
        <f t="shared" si="1"/>
        <v>9600</v>
      </c>
      <c r="H15" s="74">
        <f t="shared" si="1"/>
        <v>7613.04</v>
      </c>
      <c r="I15" s="90">
        <f t="shared" si="1"/>
        <v>10000</v>
      </c>
    </row>
    <row r="16" spans="1:13" x14ac:dyDescent="0.25">
      <c r="A16" s="78"/>
      <c r="B16" s="12"/>
      <c r="C16" s="273"/>
      <c r="D16" s="274"/>
      <c r="E16" s="273"/>
      <c r="F16" s="274"/>
      <c r="G16" s="273"/>
      <c r="H16" s="274"/>
      <c r="I16" s="273"/>
    </row>
    <row r="17" spans="1:1" x14ac:dyDescent="0.25">
      <c r="A17" s="59" t="s">
        <v>650</v>
      </c>
    </row>
    <row r="18" spans="1:1" x14ac:dyDescent="0.25">
      <c r="A18" s="59" t="s">
        <v>651</v>
      </c>
    </row>
  </sheetData>
  <mergeCells count="5">
    <mergeCell ref="A1:M1"/>
    <mergeCell ref="A2:M2"/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2C4E-1A8F-412F-A10E-3E8CAD5BF0ED}">
  <sheetPr>
    <tabColor theme="9" tint="0.39997558519241921"/>
    <pageSetUpPr fitToPage="1"/>
  </sheetPr>
  <dimension ref="A1:KZ29"/>
  <sheetViews>
    <sheetView zoomScale="140" zoomScaleNormal="140" workbookViewId="0">
      <selection activeCell="G19" sqref="G19"/>
    </sheetView>
  </sheetViews>
  <sheetFormatPr defaultColWidth="9.140625" defaultRowHeight="15" x14ac:dyDescent="0.25"/>
  <cols>
    <col min="1" max="1" width="21.42578125" customWidth="1"/>
    <col min="2" max="2" width="14.140625" customWidth="1"/>
    <col min="3" max="3" width="8.7109375" customWidth="1"/>
    <col min="4" max="4" width="9.28515625" customWidth="1"/>
    <col min="5" max="5" width="8.7109375" customWidth="1"/>
    <col min="6" max="6" width="9.28515625" customWidth="1"/>
    <col min="7" max="8" width="9.85546875" customWidth="1"/>
    <col min="9" max="9" width="11.5703125" customWidth="1"/>
    <col min="10" max="11" width="9.85546875" customWidth="1"/>
    <col min="13" max="13" width="10.5703125" customWidth="1"/>
  </cols>
  <sheetData>
    <row r="1" spans="1:312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312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312" x14ac:dyDescent="0.25">
      <c r="A3" s="1"/>
      <c r="B3" s="1"/>
      <c r="C3" s="1"/>
      <c r="D3" s="1"/>
      <c r="E3" s="1"/>
      <c r="F3" s="1"/>
      <c r="I3" s="12"/>
    </row>
    <row r="4" spans="1:312" s="64" customFormat="1" ht="29.25" x14ac:dyDescent="0.25">
      <c r="A4" s="63" t="s">
        <v>119</v>
      </c>
      <c r="B4" s="47"/>
      <c r="C4" s="437" t="s">
        <v>29</v>
      </c>
      <c r="D4" s="437"/>
      <c r="E4" s="437" t="s">
        <v>30</v>
      </c>
      <c r="F4" s="437"/>
      <c r="G4" s="442" t="s">
        <v>31</v>
      </c>
      <c r="H4" s="443"/>
      <c r="I4" s="11" t="s">
        <v>571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</row>
    <row r="5" spans="1:312" x14ac:dyDescent="0.25">
      <c r="A5" s="4"/>
      <c r="B5" s="4"/>
      <c r="C5" s="132" t="s">
        <v>6</v>
      </c>
      <c r="D5" s="135" t="s">
        <v>7</v>
      </c>
      <c r="E5" s="132" t="s">
        <v>6</v>
      </c>
      <c r="F5" s="135" t="s">
        <v>7</v>
      </c>
      <c r="G5" s="132" t="s">
        <v>6</v>
      </c>
      <c r="H5" s="135" t="s">
        <v>594</v>
      </c>
      <c r="I5" s="132" t="s">
        <v>606</v>
      </c>
    </row>
    <row r="6" spans="1:312" x14ac:dyDescent="0.25">
      <c r="A6" s="4" t="s">
        <v>120</v>
      </c>
      <c r="B6" s="4" t="s">
        <v>121</v>
      </c>
      <c r="C6" s="133"/>
      <c r="D6" s="136"/>
      <c r="E6" s="133"/>
      <c r="F6" s="76"/>
      <c r="G6" s="161"/>
      <c r="H6" s="76">
        <v>216.88</v>
      </c>
      <c r="I6" s="161"/>
    </row>
    <row r="7" spans="1:312" x14ac:dyDescent="0.25">
      <c r="A7" s="4" t="s">
        <v>122</v>
      </c>
      <c r="B7" s="4" t="s">
        <v>407</v>
      </c>
      <c r="C7" s="133">
        <v>2500</v>
      </c>
      <c r="D7" s="136"/>
      <c r="E7" s="133">
        <v>2500</v>
      </c>
      <c r="F7" s="76"/>
      <c r="G7" s="86">
        <f>E7</f>
        <v>2500</v>
      </c>
      <c r="H7" s="76">
        <v>150</v>
      </c>
      <c r="I7" s="86">
        <v>2500</v>
      </c>
    </row>
    <row r="8" spans="1:312" x14ac:dyDescent="0.25">
      <c r="A8" s="4" t="s">
        <v>123</v>
      </c>
      <c r="B8" s="4" t="s">
        <v>114</v>
      </c>
      <c r="C8" s="133">
        <v>100</v>
      </c>
      <c r="D8" s="136"/>
      <c r="E8" s="133">
        <v>100</v>
      </c>
      <c r="F8" s="76"/>
      <c r="G8" s="86">
        <f t="shared" ref="G8:G12" si="0">E8</f>
        <v>100</v>
      </c>
      <c r="H8" s="76"/>
      <c r="I8" s="86">
        <v>100</v>
      </c>
    </row>
    <row r="9" spans="1:312" x14ac:dyDescent="0.25">
      <c r="A9" s="4" t="s">
        <v>124</v>
      </c>
      <c r="B9" s="4" t="s">
        <v>79</v>
      </c>
      <c r="C9" s="133">
        <v>100</v>
      </c>
      <c r="D9" s="136"/>
      <c r="E9" s="133">
        <v>100</v>
      </c>
      <c r="F9" s="76"/>
      <c r="G9" s="86">
        <f t="shared" si="0"/>
        <v>100</v>
      </c>
      <c r="H9" s="76"/>
      <c r="I9" s="86">
        <v>50</v>
      </c>
    </row>
    <row r="10" spans="1:312" x14ac:dyDescent="0.25">
      <c r="A10" s="4" t="s">
        <v>125</v>
      </c>
      <c r="B10" s="4" t="s">
        <v>52</v>
      </c>
      <c r="C10" s="133"/>
      <c r="D10" s="136"/>
      <c r="E10" s="133"/>
      <c r="F10" s="76"/>
      <c r="G10" s="86"/>
      <c r="H10" s="76"/>
      <c r="I10" s="86"/>
    </row>
    <row r="11" spans="1:312" x14ac:dyDescent="0.25">
      <c r="A11" s="4" t="s">
        <v>611</v>
      </c>
      <c r="B11" s="4" t="s">
        <v>612</v>
      </c>
      <c r="C11" s="133"/>
      <c r="D11" s="136"/>
      <c r="E11" s="133"/>
      <c r="F11" s="76"/>
      <c r="G11" s="86"/>
      <c r="H11" s="76">
        <v>43</v>
      </c>
      <c r="I11" s="86">
        <v>350</v>
      </c>
    </row>
    <row r="12" spans="1:312" s="65" customFormat="1" x14ac:dyDescent="0.25">
      <c r="A12" s="4" t="s">
        <v>126</v>
      </c>
      <c r="B12" s="4" t="s">
        <v>127</v>
      </c>
      <c r="C12" s="133">
        <v>400</v>
      </c>
      <c r="D12" s="136"/>
      <c r="E12" s="133">
        <v>400</v>
      </c>
      <c r="F12" s="76"/>
      <c r="G12" s="86">
        <f t="shared" si="0"/>
        <v>400</v>
      </c>
      <c r="H12" s="76"/>
      <c r="I12" s="86">
        <v>100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312" s="3" customFormat="1" x14ac:dyDescent="0.25">
      <c r="A13" s="11" t="s">
        <v>9</v>
      </c>
      <c r="B13" s="11"/>
      <c r="C13" s="134">
        <f>SUM(C6:C12)</f>
        <v>3100</v>
      </c>
      <c r="D13" s="137"/>
      <c r="E13" s="134">
        <f>SUM(E6:E12)</f>
        <v>3100</v>
      </c>
      <c r="F13" s="134">
        <v>1914</v>
      </c>
      <c r="G13" s="134">
        <f t="shared" ref="G13:I13" si="1">SUM(G6:G12)</f>
        <v>3100</v>
      </c>
      <c r="H13" s="134">
        <f t="shared" si="1"/>
        <v>409.88</v>
      </c>
      <c r="I13" s="134">
        <f t="shared" si="1"/>
        <v>3100</v>
      </c>
    </row>
    <row r="15" spans="1:312" x14ac:dyDescent="0.25">
      <c r="A15" s="1" t="s">
        <v>613</v>
      </c>
    </row>
    <row r="16" spans="1:312" x14ac:dyDescent="0.25">
      <c r="A16" s="1" t="s">
        <v>614</v>
      </c>
    </row>
    <row r="17" spans="1:6" x14ac:dyDescent="0.25">
      <c r="A17" s="1" t="s">
        <v>642</v>
      </c>
    </row>
    <row r="20" spans="1:6" x14ac:dyDescent="0.25">
      <c r="B20" s="66"/>
      <c r="C20" s="438"/>
      <c r="D20" s="438"/>
      <c r="E20" s="12"/>
      <c r="F20" s="12"/>
    </row>
    <row r="21" spans="1:6" x14ac:dyDescent="0.25">
      <c r="B21" s="1"/>
      <c r="C21" s="1"/>
      <c r="D21" s="1"/>
      <c r="E21" s="1"/>
      <c r="F21" s="1"/>
    </row>
    <row r="22" spans="1:6" x14ac:dyDescent="0.25">
      <c r="B22" s="1"/>
      <c r="C22" s="1"/>
      <c r="D22" s="1"/>
      <c r="E22" s="67"/>
      <c r="F22" s="67"/>
    </row>
    <row r="23" spans="1:6" x14ac:dyDescent="0.25">
      <c r="B23" s="1"/>
      <c r="C23" s="1"/>
      <c r="D23" s="1"/>
      <c r="E23" s="67"/>
      <c r="F23" s="67"/>
    </row>
    <row r="24" spans="1:6" x14ac:dyDescent="0.25">
      <c r="B24" s="1"/>
      <c r="C24" s="1"/>
      <c r="D24" s="1"/>
      <c r="E24" s="67"/>
      <c r="F24" s="67"/>
    </row>
    <row r="25" spans="1:6" x14ac:dyDescent="0.25">
      <c r="B25" s="1"/>
      <c r="C25" s="1"/>
      <c r="D25" s="1"/>
      <c r="E25" s="67"/>
      <c r="F25" s="67"/>
    </row>
    <row r="26" spans="1:6" x14ac:dyDescent="0.25">
      <c r="B26" s="1"/>
      <c r="C26" s="1"/>
      <c r="D26" s="1"/>
      <c r="E26" s="67"/>
      <c r="F26" s="67"/>
    </row>
    <row r="27" spans="1:6" x14ac:dyDescent="0.25">
      <c r="B27" s="1"/>
      <c r="C27" s="1"/>
      <c r="D27" s="1"/>
      <c r="E27" s="67"/>
      <c r="F27" s="67"/>
    </row>
    <row r="28" spans="1:6" x14ac:dyDescent="0.25">
      <c r="B28" s="1"/>
      <c r="C28" s="1"/>
      <c r="D28" s="1"/>
      <c r="E28" s="67"/>
      <c r="F28" s="67"/>
    </row>
    <row r="29" spans="1:6" x14ac:dyDescent="0.25">
      <c r="B29" s="12"/>
      <c r="C29" s="1"/>
      <c r="D29" s="1"/>
      <c r="E29" s="67"/>
      <c r="F29" s="67"/>
    </row>
  </sheetData>
  <mergeCells count="6">
    <mergeCell ref="C20:D20"/>
    <mergeCell ref="A1:K1"/>
    <mergeCell ref="A2:K2"/>
    <mergeCell ref="C4:D4"/>
    <mergeCell ref="E4:F4"/>
    <mergeCell ref="G4:H4"/>
  </mergeCells>
  <pageMargins left="0.25" right="0.25" top="0.75" bottom="0.75" header="0.3" footer="0.3"/>
  <pageSetup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278DF-2332-44D8-8B50-306E214A027C}">
  <sheetPr>
    <tabColor theme="9" tint="0.39997558519241921"/>
    <pageSetUpPr fitToPage="1"/>
  </sheetPr>
  <dimension ref="A1:I14"/>
  <sheetViews>
    <sheetView zoomScale="150" zoomScaleNormal="150" workbookViewId="0">
      <selection activeCell="A14" sqref="A14"/>
    </sheetView>
  </sheetViews>
  <sheetFormatPr defaultColWidth="9.140625" defaultRowHeight="15" x14ac:dyDescent="0.25"/>
  <cols>
    <col min="1" max="1" width="34.28515625" style="1" customWidth="1"/>
    <col min="2" max="2" width="17.85546875" style="1" customWidth="1"/>
    <col min="3" max="11" width="9.5703125" style="1" customWidth="1"/>
    <col min="12" max="16384" width="9.140625" style="1"/>
  </cols>
  <sheetData>
    <row r="1" spans="1:9" x14ac:dyDescent="0.25">
      <c r="B1" s="438" t="s">
        <v>0</v>
      </c>
      <c r="C1" s="438"/>
      <c r="D1" s="438"/>
      <c r="E1" s="438"/>
      <c r="F1" s="438"/>
      <c r="G1" s="438"/>
      <c r="H1" s="438"/>
      <c r="I1" s="438"/>
    </row>
    <row r="2" spans="1:9" x14ac:dyDescent="0.25">
      <c r="B2" s="438" t="s">
        <v>615</v>
      </c>
      <c r="C2" s="438"/>
      <c r="D2" s="438"/>
      <c r="E2" s="438"/>
      <c r="F2" s="438"/>
      <c r="G2" s="438"/>
      <c r="H2" s="438"/>
      <c r="I2" s="438"/>
    </row>
    <row r="3" spans="1:9" x14ac:dyDescent="0.25">
      <c r="F3" s="68"/>
    </row>
    <row r="4" spans="1:9" s="12" customFormat="1" ht="21" customHeight="1" x14ac:dyDescent="0.2">
      <c r="A4" s="69" t="s">
        <v>128</v>
      </c>
      <c r="B4" s="11"/>
      <c r="C4" s="442" t="s">
        <v>4</v>
      </c>
      <c r="D4" s="443"/>
      <c r="E4" s="442" t="s">
        <v>5</v>
      </c>
      <c r="F4" s="443"/>
      <c r="G4" s="10" t="s">
        <v>570</v>
      </c>
    </row>
    <row r="5" spans="1:9" ht="30" x14ac:dyDescent="0.25">
      <c r="A5" s="4"/>
      <c r="B5" s="4"/>
      <c r="C5" s="81" t="s">
        <v>6</v>
      </c>
      <c r="D5" s="72" t="s">
        <v>7</v>
      </c>
      <c r="E5" s="224" t="s">
        <v>6</v>
      </c>
      <c r="F5" s="72" t="s">
        <v>7</v>
      </c>
      <c r="G5" s="224" t="s">
        <v>8</v>
      </c>
    </row>
    <row r="6" spans="1:9" x14ac:dyDescent="0.25">
      <c r="A6" s="4" t="s">
        <v>616</v>
      </c>
      <c r="B6" s="63" t="s">
        <v>617</v>
      </c>
      <c r="C6" s="90">
        <v>0</v>
      </c>
      <c r="D6" s="74"/>
      <c r="E6" s="90">
        <v>0</v>
      </c>
      <c r="F6" s="74">
        <v>0</v>
      </c>
      <c r="G6" s="90">
        <v>0</v>
      </c>
      <c r="H6" s="12"/>
      <c r="I6" s="12"/>
    </row>
    <row r="7" spans="1:9" s="12" customFormat="1" x14ac:dyDescent="0.25">
      <c r="A7" s="4" t="s">
        <v>129</v>
      </c>
      <c r="B7" s="4" t="s">
        <v>22</v>
      </c>
      <c r="C7" s="86">
        <v>50</v>
      </c>
      <c r="D7" s="75"/>
      <c r="E7" s="86">
        <v>50</v>
      </c>
      <c r="F7" s="75">
        <v>0</v>
      </c>
      <c r="G7" s="86">
        <v>50</v>
      </c>
      <c r="H7" s="1"/>
      <c r="I7" s="1"/>
    </row>
    <row r="8" spans="1:9" x14ac:dyDescent="0.25">
      <c r="A8" s="4" t="s">
        <v>129</v>
      </c>
      <c r="B8" s="4" t="s">
        <v>130</v>
      </c>
      <c r="C8" s="86">
        <v>203</v>
      </c>
      <c r="D8" s="75"/>
      <c r="E8" s="86">
        <v>207</v>
      </c>
      <c r="F8" s="75">
        <v>207</v>
      </c>
      <c r="G8" s="86">
        <v>211</v>
      </c>
    </row>
    <row r="9" spans="1:9" x14ac:dyDescent="0.25">
      <c r="A9" s="4" t="s">
        <v>129</v>
      </c>
      <c r="B9" s="4" t="s">
        <v>619</v>
      </c>
      <c r="C9" s="86">
        <v>500</v>
      </c>
      <c r="D9" s="75"/>
      <c r="E9" s="86">
        <v>500</v>
      </c>
      <c r="F9" s="75">
        <v>0</v>
      </c>
      <c r="G9" s="86">
        <v>750</v>
      </c>
    </row>
    <row r="10" spans="1:9" x14ac:dyDescent="0.25">
      <c r="A10" s="4" t="s">
        <v>129</v>
      </c>
      <c r="B10" s="4" t="s">
        <v>52</v>
      </c>
      <c r="C10" s="86">
        <v>50</v>
      </c>
      <c r="D10" s="75"/>
      <c r="E10" s="86">
        <v>50</v>
      </c>
      <c r="F10" s="75">
        <v>0</v>
      </c>
      <c r="G10" s="86">
        <v>50</v>
      </c>
    </row>
    <row r="11" spans="1:9" x14ac:dyDescent="0.25">
      <c r="A11" s="11" t="s">
        <v>82</v>
      </c>
      <c r="B11" s="11"/>
      <c r="C11" s="90">
        <f t="shared" ref="C11:D11" si="0">SUM(C7:C10)</f>
        <v>803</v>
      </c>
      <c r="D11" s="74">
        <f t="shared" si="0"/>
        <v>0</v>
      </c>
      <c r="E11" s="90">
        <f>SUM(E6:E10)</f>
        <v>807</v>
      </c>
      <c r="F11" s="74">
        <f t="shared" ref="F11" si="1">SUM(F7:F10)</f>
        <v>207</v>
      </c>
      <c r="G11" s="90">
        <f>SUM(G6:G10)</f>
        <v>1061</v>
      </c>
      <c r="H11" s="12"/>
      <c r="I11" s="12"/>
    </row>
    <row r="12" spans="1:9" x14ac:dyDescent="0.25">
      <c r="A12" s="11"/>
      <c r="B12" s="5" t="s">
        <v>9</v>
      </c>
      <c r="C12" s="90">
        <f t="shared" ref="C12:G12" si="2">C6+C11</f>
        <v>803</v>
      </c>
      <c r="D12" s="74">
        <f t="shared" si="2"/>
        <v>0</v>
      </c>
      <c r="E12" s="90">
        <f t="shared" si="2"/>
        <v>807</v>
      </c>
      <c r="F12" s="74">
        <f t="shared" si="2"/>
        <v>207</v>
      </c>
      <c r="G12" s="90">
        <f t="shared" si="2"/>
        <v>1061</v>
      </c>
      <c r="H12" s="12"/>
      <c r="I12" s="12"/>
    </row>
    <row r="14" spans="1:9" x14ac:dyDescent="0.25">
      <c r="A14" s="59" t="s">
        <v>618</v>
      </c>
    </row>
  </sheetData>
  <mergeCells count="4">
    <mergeCell ref="C4:D4"/>
    <mergeCell ref="E4:F4"/>
    <mergeCell ref="B1:I1"/>
    <mergeCell ref="B2:I2"/>
  </mergeCells>
  <pageMargins left="0.7" right="0.7" top="0.75" bottom="0.75" header="0.3" footer="0.3"/>
  <pageSetup fitToHeight="0" orientation="landscape" r:id="rId1"/>
  <ignoredErrors>
    <ignoredError sqref="C11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90313-D6AD-40F8-8A35-37781FE5037B}">
  <sheetPr>
    <tabColor theme="9" tint="0.39997558519241921"/>
    <pageSetUpPr fitToPage="1"/>
  </sheetPr>
  <dimension ref="A1:J12"/>
  <sheetViews>
    <sheetView zoomScale="140" zoomScaleNormal="140" workbookViewId="0">
      <selection activeCell="I9" sqref="I9"/>
    </sheetView>
  </sheetViews>
  <sheetFormatPr defaultColWidth="9.140625" defaultRowHeight="15" x14ac:dyDescent="0.25"/>
  <cols>
    <col min="1" max="1" width="23.5703125" style="1" customWidth="1"/>
    <col min="2" max="2" width="19.85546875" style="1" customWidth="1"/>
    <col min="3" max="13" width="9.5703125" style="1" customWidth="1"/>
    <col min="14" max="16384" width="9.140625" style="1"/>
  </cols>
  <sheetData>
    <row r="1" spans="1:10" x14ac:dyDescent="0.25">
      <c r="B1" s="438" t="s">
        <v>0</v>
      </c>
      <c r="C1" s="438"/>
      <c r="D1" s="438"/>
      <c r="E1" s="438"/>
      <c r="F1" s="438"/>
      <c r="G1" s="438"/>
      <c r="H1" s="438"/>
      <c r="I1" s="438"/>
      <c r="J1" s="46"/>
    </row>
    <row r="2" spans="1:10" x14ac:dyDescent="0.25">
      <c r="B2" s="438" t="s">
        <v>568</v>
      </c>
      <c r="C2" s="438"/>
      <c r="D2" s="438"/>
      <c r="E2" s="438"/>
      <c r="F2" s="438"/>
      <c r="G2" s="438"/>
      <c r="H2" s="438"/>
      <c r="I2" s="438"/>
      <c r="J2" s="46"/>
    </row>
    <row r="3" spans="1:10" x14ac:dyDescent="0.25">
      <c r="F3" s="68"/>
    </row>
    <row r="4" spans="1:10" s="12" customFormat="1" ht="17.25" customHeight="1" x14ac:dyDescent="0.2">
      <c r="A4" s="449" t="s">
        <v>361</v>
      </c>
      <c r="B4" s="450"/>
      <c r="C4" s="437" t="s">
        <v>3</v>
      </c>
      <c r="D4" s="437"/>
      <c r="E4" s="437" t="s">
        <v>4</v>
      </c>
      <c r="F4" s="437"/>
      <c r="G4" s="442" t="s">
        <v>5</v>
      </c>
      <c r="H4" s="443"/>
      <c r="I4" s="11" t="s">
        <v>570</v>
      </c>
    </row>
    <row r="5" spans="1:10" ht="17.25" customHeight="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224" t="s">
        <v>6</v>
      </c>
      <c r="H5" s="72" t="s">
        <v>7</v>
      </c>
      <c r="I5" s="81" t="s">
        <v>606</v>
      </c>
    </row>
    <row r="6" spans="1:10" s="12" customFormat="1" ht="17.25" customHeight="1" x14ac:dyDescent="0.25">
      <c r="A6" s="4" t="s">
        <v>358</v>
      </c>
      <c r="B6" s="167" t="s">
        <v>359</v>
      </c>
      <c r="C6" s="86"/>
      <c r="D6" s="75"/>
      <c r="E6" s="86"/>
      <c r="F6" s="75"/>
      <c r="G6" s="86"/>
      <c r="H6" s="75"/>
      <c r="I6" s="86"/>
    </row>
    <row r="7" spans="1:10" s="12" customFormat="1" ht="17.25" customHeight="1" x14ac:dyDescent="0.25">
      <c r="A7" s="4" t="s">
        <v>360</v>
      </c>
      <c r="B7" s="167" t="s">
        <v>76</v>
      </c>
      <c r="C7" s="86">
        <v>1</v>
      </c>
      <c r="D7" s="75">
        <v>0</v>
      </c>
      <c r="E7" s="86">
        <v>1</v>
      </c>
      <c r="F7" s="75">
        <v>0</v>
      </c>
      <c r="G7" s="86">
        <v>1</v>
      </c>
      <c r="H7" s="75">
        <v>0</v>
      </c>
      <c r="I7" s="86"/>
    </row>
    <row r="8" spans="1:10" s="12" customFormat="1" ht="17.25" customHeight="1" x14ac:dyDescent="0.25">
      <c r="A8" s="5" t="s">
        <v>9</v>
      </c>
      <c r="B8" s="44"/>
      <c r="C8" s="90">
        <f t="shared" ref="C8:G8" si="0">SUM(C6:C7)</f>
        <v>1</v>
      </c>
      <c r="D8" s="74">
        <f t="shared" si="0"/>
        <v>0</v>
      </c>
      <c r="E8" s="90">
        <f t="shared" si="0"/>
        <v>1</v>
      </c>
      <c r="F8" s="74">
        <f t="shared" si="0"/>
        <v>0</v>
      </c>
      <c r="G8" s="90">
        <f t="shared" si="0"/>
        <v>1</v>
      </c>
      <c r="H8" s="74">
        <f t="shared" ref="H8" si="1">SUM(H6:H7)</f>
        <v>0</v>
      </c>
      <c r="I8" s="90">
        <v>1</v>
      </c>
    </row>
    <row r="9" spans="1:10" x14ac:dyDescent="0.25">
      <c r="A9" s="59"/>
      <c r="B9"/>
    </row>
    <row r="10" spans="1:10" x14ac:dyDescent="0.25">
      <c r="B10"/>
    </row>
    <row r="12" spans="1:10" x14ac:dyDescent="0.25">
      <c r="B12" s="71"/>
    </row>
  </sheetData>
  <mergeCells count="6">
    <mergeCell ref="E4:F4"/>
    <mergeCell ref="A4:B4"/>
    <mergeCell ref="B1:I1"/>
    <mergeCell ref="B2:I2"/>
    <mergeCell ref="C4:D4"/>
    <mergeCell ref="G4:H4"/>
  </mergeCells>
  <pageMargins left="0.7" right="0.7" top="0.75" bottom="0.75" header="0.3" footer="0.3"/>
  <pageSetup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3FED-386C-4EB9-AF16-74DF0BB253C6}">
  <sheetPr>
    <tabColor theme="9" tint="0.39997558519241921"/>
    <pageSetUpPr fitToPage="1"/>
  </sheetPr>
  <dimension ref="A1:M17"/>
  <sheetViews>
    <sheetView workbookViewId="0">
      <selection activeCell="A18" sqref="A18"/>
    </sheetView>
  </sheetViews>
  <sheetFormatPr defaultColWidth="9.140625" defaultRowHeight="15" x14ac:dyDescent="0.25"/>
  <cols>
    <col min="1" max="1" width="26" customWidth="1"/>
    <col min="2" max="2" width="25.42578125" customWidth="1"/>
    <col min="3" max="13" width="11" customWidth="1"/>
  </cols>
  <sheetData>
    <row r="1" spans="1:13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1"/>
      <c r="M1" s="12"/>
    </row>
    <row r="2" spans="1:13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1"/>
      <c r="M2" s="12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2"/>
    </row>
    <row r="4" spans="1:13" x14ac:dyDescent="0.25">
      <c r="A4" s="2" t="s">
        <v>131</v>
      </c>
      <c r="B4" s="2"/>
      <c r="C4" s="442" t="s">
        <v>3</v>
      </c>
      <c r="D4" s="443"/>
      <c r="E4" s="442" t="s">
        <v>4</v>
      </c>
      <c r="F4" s="443"/>
      <c r="G4" s="442" t="s">
        <v>64</v>
      </c>
      <c r="H4" s="443"/>
      <c r="I4" s="10" t="s">
        <v>569</v>
      </c>
    </row>
    <row r="5" spans="1:13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225" t="s">
        <v>6</v>
      </c>
      <c r="H5" s="72" t="s">
        <v>7</v>
      </c>
      <c r="I5" s="225" t="s">
        <v>6</v>
      </c>
    </row>
    <row r="6" spans="1:13" x14ac:dyDescent="0.25">
      <c r="A6" s="4" t="s">
        <v>602</v>
      </c>
      <c r="B6" s="4" t="s">
        <v>620</v>
      </c>
      <c r="C6" s="86">
        <v>0</v>
      </c>
      <c r="D6" s="75">
        <v>0</v>
      </c>
      <c r="E6" s="138">
        <v>0</v>
      </c>
      <c r="F6" s="75"/>
      <c r="G6" s="90">
        <v>0</v>
      </c>
      <c r="H6" s="75"/>
      <c r="I6" s="90">
        <v>0</v>
      </c>
    </row>
    <row r="7" spans="1:13" x14ac:dyDescent="0.25">
      <c r="A7" s="4" t="s">
        <v>398</v>
      </c>
      <c r="B7" s="4" t="s">
        <v>133</v>
      </c>
      <c r="C7" s="86">
        <v>0</v>
      </c>
      <c r="D7" s="75">
        <v>630</v>
      </c>
      <c r="E7" s="86">
        <v>150</v>
      </c>
      <c r="F7" s="75"/>
      <c r="G7" s="86">
        <v>150</v>
      </c>
      <c r="H7" s="75"/>
      <c r="I7" s="86">
        <v>150</v>
      </c>
    </row>
    <row r="8" spans="1:13" x14ac:dyDescent="0.25">
      <c r="A8" s="4" t="s">
        <v>134</v>
      </c>
      <c r="B8" s="4" t="s">
        <v>20</v>
      </c>
      <c r="C8" s="86">
        <v>100</v>
      </c>
      <c r="D8" s="75"/>
      <c r="E8" s="138">
        <v>100</v>
      </c>
      <c r="F8" s="75"/>
      <c r="G8" s="138">
        <v>100</v>
      </c>
      <c r="H8" s="75"/>
      <c r="I8" s="138">
        <v>100</v>
      </c>
    </row>
    <row r="9" spans="1:13" x14ac:dyDescent="0.25">
      <c r="A9" s="4" t="s">
        <v>132</v>
      </c>
      <c r="B9" s="4" t="s">
        <v>130</v>
      </c>
      <c r="C9" s="86">
        <v>260</v>
      </c>
      <c r="D9" s="75"/>
      <c r="E9" s="138">
        <v>200</v>
      </c>
      <c r="F9" s="75"/>
      <c r="G9" s="138">
        <v>200</v>
      </c>
      <c r="H9" s="75"/>
      <c r="I9" s="138">
        <v>200</v>
      </c>
    </row>
    <row r="10" spans="1:13" x14ac:dyDescent="0.25">
      <c r="A10" s="4" t="s">
        <v>135</v>
      </c>
      <c r="B10" s="4" t="s">
        <v>399</v>
      </c>
      <c r="C10" s="86">
        <v>360</v>
      </c>
      <c r="D10" s="75"/>
      <c r="E10" s="138">
        <v>450</v>
      </c>
      <c r="F10" s="75"/>
      <c r="G10" s="138">
        <v>450</v>
      </c>
      <c r="H10" s="75"/>
      <c r="I10" s="138">
        <v>450</v>
      </c>
    </row>
    <row r="11" spans="1:13" x14ac:dyDescent="0.25">
      <c r="A11" s="4" t="s">
        <v>136</v>
      </c>
      <c r="B11" s="4" t="s">
        <v>79</v>
      </c>
      <c r="C11" s="86">
        <v>480</v>
      </c>
      <c r="D11" s="75"/>
      <c r="E11" s="138">
        <v>500</v>
      </c>
      <c r="F11" s="75"/>
      <c r="G11" s="86">
        <v>600</v>
      </c>
      <c r="H11" s="75"/>
      <c r="I11" s="86">
        <v>700</v>
      </c>
    </row>
    <row r="12" spans="1:13" x14ac:dyDescent="0.25">
      <c r="A12" s="4" t="s">
        <v>137</v>
      </c>
      <c r="B12" s="4" t="s">
        <v>138</v>
      </c>
      <c r="C12" s="86">
        <v>250</v>
      </c>
      <c r="D12" s="75"/>
      <c r="E12" s="138">
        <v>250</v>
      </c>
      <c r="F12" s="75"/>
      <c r="G12" s="138">
        <v>250</v>
      </c>
      <c r="H12" s="75"/>
      <c r="I12" s="138">
        <v>250</v>
      </c>
    </row>
    <row r="13" spans="1:13" x14ac:dyDescent="0.25">
      <c r="A13" s="4" t="s">
        <v>139</v>
      </c>
      <c r="B13" s="4" t="s">
        <v>140</v>
      </c>
      <c r="C13" s="86">
        <v>400</v>
      </c>
      <c r="D13" s="75"/>
      <c r="E13" s="138">
        <v>500</v>
      </c>
      <c r="F13" s="75"/>
      <c r="G13" s="138">
        <v>500</v>
      </c>
      <c r="H13" s="75"/>
      <c r="I13" s="138">
        <v>500</v>
      </c>
    </row>
    <row r="14" spans="1:13" x14ac:dyDescent="0.25">
      <c r="A14" s="11" t="s">
        <v>82</v>
      </c>
      <c r="B14" s="11"/>
      <c r="C14" s="90">
        <f t="shared" ref="C14:I14" si="0">SUM(C7:C13)</f>
        <v>1850</v>
      </c>
      <c r="D14" s="74">
        <f t="shared" si="0"/>
        <v>630</v>
      </c>
      <c r="E14" s="90">
        <f t="shared" si="0"/>
        <v>2150</v>
      </c>
      <c r="F14" s="74">
        <f t="shared" si="0"/>
        <v>0</v>
      </c>
      <c r="G14" s="90">
        <f t="shared" si="0"/>
        <v>2250</v>
      </c>
      <c r="H14" s="74">
        <f t="shared" si="0"/>
        <v>0</v>
      </c>
      <c r="I14" s="90">
        <f t="shared" si="0"/>
        <v>2350</v>
      </c>
    </row>
    <row r="15" spans="1:13" s="3" customFormat="1" x14ac:dyDescent="0.25">
      <c r="A15" s="11" t="s">
        <v>9</v>
      </c>
      <c r="B15" s="11"/>
      <c r="C15" s="90">
        <f t="shared" ref="C15:I15" si="1">C6+C14</f>
        <v>1850</v>
      </c>
      <c r="D15" s="74">
        <f t="shared" si="1"/>
        <v>630</v>
      </c>
      <c r="E15" s="90">
        <f t="shared" si="1"/>
        <v>2150</v>
      </c>
      <c r="F15" s="74">
        <f t="shared" si="1"/>
        <v>0</v>
      </c>
      <c r="G15" s="90">
        <f t="shared" si="1"/>
        <v>2250</v>
      </c>
      <c r="H15" s="74">
        <f t="shared" si="1"/>
        <v>0</v>
      </c>
      <c r="I15" s="90">
        <f t="shared" si="1"/>
        <v>2350</v>
      </c>
    </row>
    <row r="17" spans="1:1" x14ac:dyDescent="0.25">
      <c r="A17" s="59" t="s">
        <v>681</v>
      </c>
    </row>
  </sheetData>
  <mergeCells count="5">
    <mergeCell ref="A1:K1"/>
    <mergeCell ref="A2:K2"/>
    <mergeCell ref="C4:D4"/>
    <mergeCell ref="E4:F4"/>
    <mergeCell ref="G4:H4"/>
  </mergeCells>
  <pageMargins left="0.7" right="0.7" top="0.75" bottom="0.75" header="0.3" footer="0.3"/>
  <pageSetup scale="8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DE69-4DD9-467B-A83E-6131D38BFA95}">
  <sheetPr>
    <tabColor theme="9" tint="0.39997558519241921"/>
    <pageSetUpPr fitToPage="1"/>
  </sheetPr>
  <dimension ref="A1:K10"/>
  <sheetViews>
    <sheetView zoomScale="140" zoomScaleNormal="140" workbookViewId="0">
      <selection activeCell="A10" sqref="A10"/>
    </sheetView>
  </sheetViews>
  <sheetFormatPr defaultColWidth="9.140625" defaultRowHeight="15" x14ac:dyDescent="0.25"/>
  <cols>
    <col min="1" max="1" width="26.28515625" style="1" customWidth="1"/>
    <col min="2" max="2" width="21.7109375" style="1" customWidth="1"/>
    <col min="3" max="16384" width="9.140625" style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4" spans="1:11" x14ac:dyDescent="0.25">
      <c r="A4" s="2" t="s">
        <v>141</v>
      </c>
      <c r="B4" s="11"/>
      <c r="C4" s="442" t="s">
        <v>18</v>
      </c>
      <c r="D4" s="443"/>
      <c r="E4" s="442" t="s">
        <v>4</v>
      </c>
      <c r="F4" s="443"/>
      <c r="G4" s="442" t="s">
        <v>5</v>
      </c>
      <c r="H4" s="443"/>
      <c r="I4" s="10" t="s">
        <v>570</v>
      </c>
    </row>
    <row r="5" spans="1:1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606</v>
      </c>
    </row>
    <row r="6" spans="1:11" x14ac:dyDescent="0.25">
      <c r="A6" s="4" t="s">
        <v>142</v>
      </c>
      <c r="B6" s="4" t="s">
        <v>143</v>
      </c>
      <c r="C6" s="86">
        <v>200</v>
      </c>
      <c r="D6" s="75"/>
      <c r="E6" s="86">
        <v>200</v>
      </c>
      <c r="F6" s="75">
        <v>0</v>
      </c>
      <c r="G6" s="90">
        <v>200</v>
      </c>
      <c r="H6" s="75"/>
      <c r="I6" s="90">
        <v>200</v>
      </c>
    </row>
    <row r="7" spans="1:11" x14ac:dyDescent="0.25">
      <c r="A7" s="4" t="s">
        <v>604</v>
      </c>
      <c r="B7" s="4" t="s">
        <v>605</v>
      </c>
      <c r="C7" s="132"/>
      <c r="D7" s="135"/>
      <c r="E7" s="249"/>
      <c r="F7" s="135"/>
      <c r="G7" s="132"/>
      <c r="H7" s="135"/>
      <c r="I7" s="86">
        <v>125</v>
      </c>
      <c r="J7" s="59"/>
    </row>
    <row r="8" spans="1:11" x14ac:dyDescent="0.25">
      <c r="A8" s="4" t="s">
        <v>9</v>
      </c>
      <c r="B8" s="4"/>
      <c r="C8" s="86">
        <f>SUM(C6:C7)</f>
        <v>200</v>
      </c>
      <c r="D8" s="75">
        <f t="shared" ref="D8:I8" si="0">SUM(D6:D7)</f>
        <v>0</v>
      </c>
      <c r="E8" s="86">
        <f t="shared" si="0"/>
        <v>200</v>
      </c>
      <c r="F8" s="75">
        <f t="shared" si="0"/>
        <v>0</v>
      </c>
      <c r="G8" s="86">
        <f t="shared" si="0"/>
        <v>200</v>
      </c>
      <c r="H8" s="75">
        <f t="shared" si="0"/>
        <v>0</v>
      </c>
      <c r="I8" s="86">
        <f t="shared" si="0"/>
        <v>325</v>
      </c>
    </row>
    <row r="10" spans="1:11" x14ac:dyDescent="0.25">
      <c r="A10" s="59" t="s">
        <v>603</v>
      </c>
    </row>
  </sheetData>
  <mergeCells count="5">
    <mergeCell ref="A1:K1"/>
    <mergeCell ref="A2:K2"/>
    <mergeCell ref="C4:D4"/>
    <mergeCell ref="E4:F4"/>
    <mergeCell ref="G4:H4"/>
  </mergeCells>
  <pageMargins left="0.7" right="0.7" top="0.75" bottom="0.75" header="0.3" footer="0.3"/>
  <pageSetup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8FC4-E94D-42C7-844D-9873C5FDE53A}">
  <sheetPr>
    <tabColor theme="9" tint="0.39997558519241921"/>
    <pageSetUpPr fitToPage="1"/>
  </sheetPr>
  <dimension ref="A1:M13"/>
  <sheetViews>
    <sheetView zoomScale="110" zoomScaleNormal="110" workbookViewId="0">
      <selection activeCell="B24" sqref="B23:B24"/>
    </sheetView>
  </sheetViews>
  <sheetFormatPr defaultColWidth="8.85546875" defaultRowHeight="15" x14ac:dyDescent="0.25"/>
  <cols>
    <col min="1" max="1" width="28.140625" style="1" customWidth="1"/>
    <col min="2" max="2" width="22.5703125" style="1" customWidth="1"/>
    <col min="3" max="3" width="9.140625" style="1" bestFit="1" customWidth="1"/>
    <col min="4" max="8" width="8.85546875" style="1"/>
    <col min="9" max="9" width="10.28515625" style="1" customWidth="1"/>
    <col min="10" max="10" width="8.85546875" style="1"/>
    <col min="11" max="12" width="10" style="1" customWidth="1"/>
    <col min="13" max="16384" width="8.85546875" style="1"/>
  </cols>
  <sheetData>
    <row r="1" spans="1:13" ht="13.9" customHeight="1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</row>
    <row r="2" spans="1:13" ht="13.9" customHeight="1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</row>
    <row r="4" spans="1:13" s="12" customFormat="1" ht="14.25" x14ac:dyDescent="0.2">
      <c r="A4" s="6" t="s">
        <v>10</v>
      </c>
      <c r="B4" s="7" t="s">
        <v>11</v>
      </c>
      <c r="C4" s="444" t="s">
        <v>12</v>
      </c>
      <c r="D4" s="444"/>
      <c r="E4" s="439" t="s">
        <v>13</v>
      </c>
      <c r="F4" s="440"/>
      <c r="G4" s="439" t="s">
        <v>3</v>
      </c>
      <c r="H4" s="441"/>
      <c r="I4" s="437" t="s">
        <v>4</v>
      </c>
      <c r="J4" s="437"/>
      <c r="K4" s="442" t="s">
        <v>14</v>
      </c>
      <c r="L4" s="443"/>
      <c r="M4" s="11" t="s">
        <v>569</v>
      </c>
    </row>
    <row r="5" spans="1:13" ht="13.9" customHeight="1" x14ac:dyDescent="0.25">
      <c r="A5" s="13"/>
      <c r="B5" s="14"/>
      <c r="C5" s="105" t="s">
        <v>6</v>
      </c>
      <c r="D5" s="99" t="s">
        <v>7</v>
      </c>
      <c r="E5" s="107" t="s">
        <v>6</v>
      </c>
      <c r="F5" s="99" t="s">
        <v>7</v>
      </c>
      <c r="G5" s="109" t="s">
        <v>6</v>
      </c>
      <c r="H5" s="104" t="s">
        <v>7</v>
      </c>
      <c r="I5" s="79" t="s">
        <v>6</v>
      </c>
      <c r="J5" s="80" t="s">
        <v>7</v>
      </c>
      <c r="K5" s="79" t="s">
        <v>6</v>
      </c>
      <c r="L5" s="80" t="s">
        <v>594</v>
      </c>
      <c r="M5" s="132" t="s">
        <v>606</v>
      </c>
    </row>
    <row r="6" spans="1:13" ht="13.9" customHeight="1" x14ac:dyDescent="0.25">
      <c r="A6" s="15" t="s">
        <v>27</v>
      </c>
      <c r="B6" s="16" t="s">
        <v>556</v>
      </c>
      <c r="C6" s="106">
        <v>5400</v>
      </c>
      <c r="D6" s="100">
        <v>5400</v>
      </c>
      <c r="E6" s="108">
        <v>5400</v>
      </c>
      <c r="F6" s="101">
        <v>5400</v>
      </c>
      <c r="G6" s="110">
        <v>1800</v>
      </c>
      <c r="H6" s="103">
        <v>5400</v>
      </c>
      <c r="I6" s="86">
        <v>5400</v>
      </c>
      <c r="J6" s="75">
        <v>5400</v>
      </c>
      <c r="K6" s="86">
        <v>5400</v>
      </c>
      <c r="L6" s="75">
        <v>2700</v>
      </c>
      <c r="M6" s="86">
        <v>5400</v>
      </c>
    </row>
    <row r="7" spans="1:13" ht="13.9" customHeight="1" x14ac:dyDescent="0.25">
      <c r="A7" s="15"/>
      <c r="B7" s="16"/>
      <c r="C7" s="106"/>
      <c r="D7" s="103"/>
      <c r="E7" s="108"/>
      <c r="F7" s="101"/>
      <c r="G7" s="110"/>
      <c r="H7" s="103"/>
      <c r="I7" s="86">
        <v>2000</v>
      </c>
      <c r="J7" s="75">
        <v>0</v>
      </c>
      <c r="K7" s="86"/>
      <c r="L7" s="75"/>
      <c r="M7" s="86"/>
    </row>
    <row r="8" spans="1:13" ht="13.9" customHeight="1" x14ac:dyDescent="0.25">
      <c r="A8" s="15" t="s">
        <v>15</v>
      </c>
      <c r="B8" s="16" t="s">
        <v>557</v>
      </c>
      <c r="C8" s="106">
        <v>600</v>
      </c>
      <c r="D8" s="101">
        <v>657</v>
      </c>
      <c r="E8" s="108">
        <v>1100</v>
      </c>
      <c r="F8" s="101">
        <v>745</v>
      </c>
      <c r="G8" s="110">
        <v>600</v>
      </c>
      <c r="H8" s="103">
        <v>640</v>
      </c>
      <c r="I8" s="86">
        <v>600</v>
      </c>
      <c r="J8" s="75">
        <v>546</v>
      </c>
      <c r="K8" s="86">
        <v>600</v>
      </c>
      <c r="L8" s="75">
        <v>557</v>
      </c>
      <c r="M8" s="86">
        <v>600</v>
      </c>
    </row>
    <row r="9" spans="1:13" ht="13.9" customHeight="1" x14ac:dyDescent="0.25">
      <c r="A9" s="15" t="s">
        <v>16</v>
      </c>
      <c r="B9" s="16" t="s">
        <v>558</v>
      </c>
      <c r="C9" s="106">
        <v>500</v>
      </c>
      <c r="D9" s="102">
        <v>0</v>
      </c>
      <c r="E9" s="108">
        <v>0</v>
      </c>
      <c r="F9" s="101">
        <v>45.01</v>
      </c>
      <c r="G9" s="110">
        <v>500</v>
      </c>
      <c r="H9" s="103">
        <v>0</v>
      </c>
      <c r="I9" s="86">
        <v>500</v>
      </c>
      <c r="J9" s="75">
        <v>0</v>
      </c>
      <c r="K9" s="86">
        <v>500</v>
      </c>
      <c r="L9" s="75"/>
      <c r="M9" s="86">
        <v>500</v>
      </c>
    </row>
    <row r="10" spans="1:13" s="12" customFormat="1" ht="13.9" customHeight="1" x14ac:dyDescent="0.2">
      <c r="A10" s="18" t="s">
        <v>9</v>
      </c>
      <c r="B10" s="111"/>
      <c r="C10" s="112">
        <f t="shared" ref="C10:M10" si="0">SUM(C6:C9)</f>
        <v>6500</v>
      </c>
      <c r="D10" s="113">
        <v>6305</v>
      </c>
      <c r="E10" s="112">
        <v>6500</v>
      </c>
      <c r="F10" s="113">
        <f t="shared" si="0"/>
        <v>6190.01</v>
      </c>
      <c r="G10" s="114">
        <f t="shared" si="0"/>
        <v>2900</v>
      </c>
      <c r="H10" s="115">
        <f t="shared" si="0"/>
        <v>6040</v>
      </c>
      <c r="I10" s="88">
        <f t="shared" si="0"/>
        <v>8500</v>
      </c>
      <c r="J10" s="88">
        <f t="shared" si="0"/>
        <v>5946</v>
      </c>
      <c r="K10" s="88">
        <f t="shared" si="0"/>
        <v>6500</v>
      </c>
      <c r="L10" s="88">
        <f t="shared" si="0"/>
        <v>3257</v>
      </c>
      <c r="M10" s="88">
        <f t="shared" si="0"/>
        <v>6500</v>
      </c>
    </row>
    <row r="12" spans="1:13" ht="13.9" customHeight="1" x14ac:dyDescent="0.25">
      <c r="A12" s="19" t="s">
        <v>575</v>
      </c>
      <c r="B12" s="1" t="s">
        <v>576</v>
      </c>
      <c r="C12" s="182">
        <v>2500</v>
      </c>
    </row>
    <row r="13" spans="1:13" x14ac:dyDescent="0.25">
      <c r="A13" s="1" t="s">
        <v>607</v>
      </c>
    </row>
  </sheetData>
  <mergeCells count="7">
    <mergeCell ref="K4:L4"/>
    <mergeCell ref="A1:I1"/>
    <mergeCell ref="A2:I2"/>
    <mergeCell ref="C4:D4"/>
    <mergeCell ref="E4:F4"/>
    <mergeCell ref="G4:H4"/>
    <mergeCell ref="I4:J4"/>
  </mergeCells>
  <pageMargins left="0.7" right="0.7" top="0.75" bottom="0.75" header="0.3" footer="0.3"/>
  <pageSetup scale="8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8A4AC-633B-4392-91D5-6FDB52F12FAB}">
  <sheetPr>
    <tabColor theme="9" tint="0.39997558519241921"/>
    <pageSetUpPr fitToPage="1"/>
  </sheetPr>
  <dimension ref="A1:K8"/>
  <sheetViews>
    <sheetView zoomScale="130" zoomScaleNormal="130" workbookViewId="0">
      <selection activeCell="I7" sqref="I7"/>
    </sheetView>
  </sheetViews>
  <sheetFormatPr defaultRowHeight="15" x14ac:dyDescent="0.25"/>
  <cols>
    <col min="1" max="1" width="20.42578125" customWidth="1"/>
    <col min="2" max="2" width="22.7109375" customWidth="1"/>
    <col min="3" max="11" width="10.7109375" customWidth="1"/>
    <col min="13" max="13" width="11" customWidth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11" x14ac:dyDescent="0.25">
      <c r="A3" s="1"/>
      <c r="B3" s="1"/>
      <c r="C3" s="1"/>
      <c r="D3" s="1"/>
      <c r="E3" s="1"/>
      <c r="F3" s="1"/>
      <c r="G3" s="1"/>
      <c r="H3" s="1"/>
    </row>
    <row r="4" spans="1:11" s="3" customFormat="1" x14ac:dyDescent="0.25">
      <c r="A4" s="5" t="s">
        <v>144</v>
      </c>
      <c r="B4" s="11"/>
      <c r="C4" s="442" t="s">
        <v>3</v>
      </c>
      <c r="D4" s="443"/>
      <c r="E4" s="442" t="s">
        <v>4</v>
      </c>
      <c r="F4" s="443"/>
      <c r="G4" s="442" t="s">
        <v>31</v>
      </c>
      <c r="H4" s="443"/>
      <c r="I4" s="10" t="s">
        <v>571</v>
      </c>
    </row>
    <row r="5" spans="1:1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606</v>
      </c>
    </row>
    <row r="6" spans="1:11" x14ac:dyDescent="0.25">
      <c r="A6" s="4" t="s">
        <v>145</v>
      </c>
      <c r="B6" s="4" t="s">
        <v>41</v>
      </c>
      <c r="C6" s="86">
        <v>1</v>
      </c>
      <c r="D6" s="75">
        <v>0</v>
      </c>
      <c r="E6" s="86">
        <v>1</v>
      </c>
      <c r="F6" s="76"/>
      <c r="G6" s="90">
        <v>1</v>
      </c>
      <c r="H6" s="76"/>
      <c r="I6" s="90">
        <v>1</v>
      </c>
    </row>
    <row r="7" spans="1:11" x14ac:dyDescent="0.25">
      <c r="A7" s="451"/>
      <c r="B7" s="452"/>
    </row>
    <row r="8" spans="1:11" x14ac:dyDescent="0.25">
      <c r="A8" s="50" t="s">
        <v>582</v>
      </c>
      <c r="C8" s="227">
        <v>13352.28</v>
      </c>
    </row>
  </sheetData>
  <mergeCells count="6">
    <mergeCell ref="A7:B7"/>
    <mergeCell ref="A1:K1"/>
    <mergeCell ref="A2:K2"/>
    <mergeCell ref="C4:D4"/>
    <mergeCell ref="E4:F4"/>
    <mergeCell ref="G4:H4"/>
  </mergeCells>
  <pageMargins left="0.7" right="0.7" top="0.75" bottom="0.75" header="0.3" footer="0.3"/>
  <pageSetup scale="8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0B9C-D17A-4AC3-A653-39E043903B8F}">
  <sheetPr>
    <tabColor theme="9" tint="0.39997558519241921"/>
    <pageSetUpPr fitToPage="1"/>
  </sheetPr>
  <dimension ref="A1:P16"/>
  <sheetViews>
    <sheetView zoomScale="120" zoomScaleNormal="120" workbookViewId="0">
      <selection activeCell="K8" sqref="K8"/>
    </sheetView>
  </sheetViews>
  <sheetFormatPr defaultColWidth="9.140625" defaultRowHeight="15" x14ac:dyDescent="0.25"/>
  <cols>
    <col min="1" max="1" width="25.140625" style="1" customWidth="1"/>
    <col min="2" max="2" width="21.5703125" style="1" bestFit="1" customWidth="1"/>
    <col min="3" max="13" width="11.28515625" style="1" bestFit="1" customWidth="1"/>
    <col min="14" max="15" width="10.85546875" style="1" customWidth="1"/>
    <col min="17" max="16384" width="9.140625" style="1"/>
  </cols>
  <sheetData>
    <row r="1" spans="1:16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1:16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6" x14ac:dyDescent="0.25">
      <c r="J3"/>
      <c r="P3" s="1"/>
    </row>
    <row r="4" spans="1:16" x14ac:dyDescent="0.25">
      <c r="A4" s="5" t="s">
        <v>146</v>
      </c>
      <c r="B4" s="11"/>
      <c r="C4" s="437" t="s">
        <v>2</v>
      </c>
      <c r="D4" s="437"/>
      <c r="E4" s="437" t="s">
        <v>3</v>
      </c>
      <c r="F4" s="437"/>
      <c r="G4" s="437" t="s">
        <v>4</v>
      </c>
      <c r="H4" s="437"/>
      <c r="I4" s="442" t="s">
        <v>307</v>
      </c>
      <c r="J4" s="443"/>
      <c r="K4" s="10" t="s">
        <v>570</v>
      </c>
      <c r="P4" s="1"/>
    </row>
    <row r="5" spans="1:16" x14ac:dyDescent="0.25">
      <c r="A5" s="453"/>
      <c r="B5" s="453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  <c r="J5" s="72" t="s">
        <v>7</v>
      </c>
      <c r="K5" s="81" t="s">
        <v>6</v>
      </c>
      <c r="P5" s="1"/>
    </row>
    <row r="6" spans="1:16" x14ac:dyDescent="0.25">
      <c r="A6" s="73" t="s">
        <v>147</v>
      </c>
      <c r="B6" s="4" t="s">
        <v>148</v>
      </c>
      <c r="C6" s="86">
        <v>16500</v>
      </c>
      <c r="D6" s="75">
        <v>16163.07</v>
      </c>
      <c r="E6" s="86">
        <v>18000</v>
      </c>
      <c r="F6" s="75">
        <v>15463.16</v>
      </c>
      <c r="G6" s="86">
        <v>18000</v>
      </c>
      <c r="H6" s="75">
        <f>19188.95+185.85</f>
        <v>19374.8</v>
      </c>
      <c r="I6" s="86">
        <v>21000</v>
      </c>
      <c r="J6" s="75">
        <v>8321.77</v>
      </c>
      <c r="K6" s="86">
        <v>21000</v>
      </c>
      <c r="P6" s="1"/>
    </row>
    <row r="7" spans="1:16" x14ac:dyDescent="0.25">
      <c r="A7" s="73" t="s">
        <v>552</v>
      </c>
      <c r="B7" s="4" t="s">
        <v>153</v>
      </c>
      <c r="C7" s="86"/>
      <c r="D7" s="75"/>
      <c r="E7" s="86">
        <v>10000</v>
      </c>
      <c r="F7" s="75">
        <f>14885.35-F11</f>
        <v>14285.36</v>
      </c>
      <c r="G7" s="86">
        <v>17000</v>
      </c>
      <c r="H7" s="75">
        <v>2838.99</v>
      </c>
      <c r="I7" s="86">
        <v>15000</v>
      </c>
      <c r="J7" s="75">
        <v>19500</v>
      </c>
      <c r="K7" s="86">
        <f>30000-6000</f>
        <v>24000</v>
      </c>
      <c r="P7" s="1"/>
    </row>
    <row r="8" spans="1:16" x14ac:dyDescent="0.25">
      <c r="A8" s="73" t="s">
        <v>149</v>
      </c>
      <c r="B8" s="4" t="s">
        <v>554</v>
      </c>
      <c r="C8" s="86">
        <v>15000</v>
      </c>
      <c r="D8" s="75">
        <v>12107.16</v>
      </c>
      <c r="E8" s="86">
        <v>6000</v>
      </c>
      <c r="F8" s="75">
        <f>10658.29-F9</f>
        <v>3487.2600000000011</v>
      </c>
      <c r="G8" s="86">
        <v>15000</v>
      </c>
      <c r="H8" s="75">
        <v>12299.71</v>
      </c>
      <c r="I8" s="86">
        <v>6000</v>
      </c>
      <c r="J8" s="75">
        <v>466.97</v>
      </c>
      <c r="K8" s="86">
        <v>6000</v>
      </c>
      <c r="P8" s="1"/>
    </row>
    <row r="9" spans="1:16" x14ac:dyDescent="0.25">
      <c r="A9" s="73" t="s">
        <v>553</v>
      </c>
      <c r="B9" s="4" t="s">
        <v>555</v>
      </c>
      <c r="C9" s="86"/>
      <c r="D9" s="75"/>
      <c r="E9" s="86">
        <v>9000</v>
      </c>
      <c r="F9" s="75">
        <v>7171.03</v>
      </c>
      <c r="G9" s="86">
        <v>0</v>
      </c>
      <c r="H9" s="75"/>
      <c r="I9" s="86">
        <v>15000</v>
      </c>
      <c r="J9" s="75">
        <v>1500.48</v>
      </c>
      <c r="K9" s="86">
        <v>15000</v>
      </c>
      <c r="P9" s="1"/>
    </row>
    <row r="10" spans="1:16" x14ac:dyDescent="0.25">
      <c r="A10" s="73" t="s">
        <v>150</v>
      </c>
      <c r="B10" s="4" t="s">
        <v>229</v>
      </c>
      <c r="C10" s="86">
        <v>1500</v>
      </c>
      <c r="D10" s="75">
        <v>760.41</v>
      </c>
      <c r="E10" s="86">
        <v>1500</v>
      </c>
      <c r="F10" s="75">
        <v>223.86</v>
      </c>
      <c r="G10" s="86">
        <v>1500</v>
      </c>
      <c r="H10" s="75">
        <f>12037.44+663.53</f>
        <v>12700.970000000001</v>
      </c>
      <c r="I10" s="86">
        <v>1500</v>
      </c>
      <c r="J10" s="75">
        <v>368</v>
      </c>
      <c r="K10" s="86">
        <v>1500</v>
      </c>
      <c r="P10" s="1"/>
    </row>
    <row r="11" spans="1:16" x14ac:dyDescent="0.25">
      <c r="A11" s="73" t="s">
        <v>151</v>
      </c>
      <c r="B11" s="4" t="s">
        <v>152</v>
      </c>
      <c r="C11" s="86">
        <v>10000</v>
      </c>
      <c r="D11" s="75">
        <v>12729.92</v>
      </c>
      <c r="E11" s="86">
        <v>2000</v>
      </c>
      <c r="F11" s="75">
        <v>599.99</v>
      </c>
      <c r="G11" s="86">
        <v>8100</v>
      </c>
      <c r="H11" s="75">
        <v>11860</v>
      </c>
      <c r="I11" s="86">
        <v>15000</v>
      </c>
      <c r="J11" s="75">
        <v>4531.9399999999996</v>
      </c>
      <c r="K11" s="86">
        <v>15000</v>
      </c>
      <c r="P11" s="1"/>
    </row>
    <row r="12" spans="1:16" x14ac:dyDescent="0.25">
      <c r="A12" s="11" t="s">
        <v>9</v>
      </c>
      <c r="B12" s="11"/>
      <c r="C12" s="228">
        <f>SUM(C6:C11)</f>
        <v>43000</v>
      </c>
      <c r="D12" s="229">
        <f t="shared" ref="D12:K12" si="0">SUM(D6:D11)</f>
        <v>41760.559999999998</v>
      </c>
      <c r="E12" s="228">
        <f t="shared" si="0"/>
        <v>46500</v>
      </c>
      <c r="F12" s="229">
        <f t="shared" si="0"/>
        <v>41230.659999999996</v>
      </c>
      <c r="G12" s="228">
        <f t="shared" si="0"/>
        <v>59600</v>
      </c>
      <c r="H12" s="229">
        <f t="shared" si="0"/>
        <v>59074.47</v>
      </c>
      <c r="I12" s="228">
        <f t="shared" si="0"/>
        <v>73500</v>
      </c>
      <c r="J12" s="229">
        <f t="shared" si="0"/>
        <v>34689.160000000003</v>
      </c>
      <c r="K12" s="228">
        <f t="shared" si="0"/>
        <v>82500</v>
      </c>
      <c r="P12" s="1"/>
    </row>
    <row r="13" spans="1:16" x14ac:dyDescent="0.25">
      <c r="A13" s="59" t="s">
        <v>451</v>
      </c>
    </row>
    <row r="14" spans="1:16" x14ac:dyDescent="0.25">
      <c r="A14" s="71"/>
    </row>
    <row r="15" spans="1:16" x14ac:dyDescent="0.25">
      <c r="A15" s="59" t="s">
        <v>583</v>
      </c>
      <c r="B15" s="182">
        <v>4108</v>
      </c>
    </row>
    <row r="16" spans="1:16" x14ac:dyDescent="0.25">
      <c r="A16" s="59"/>
    </row>
  </sheetData>
  <mergeCells count="7">
    <mergeCell ref="A5:B5"/>
    <mergeCell ref="A1:M1"/>
    <mergeCell ref="A2:M2"/>
    <mergeCell ref="C4:D4"/>
    <mergeCell ref="E4:F4"/>
    <mergeCell ref="G4:H4"/>
    <mergeCell ref="I4:J4"/>
  </mergeCells>
  <pageMargins left="0.25" right="0.25" top="0.75" bottom="0.75" header="0.3" footer="0.3"/>
  <pageSetup scale="7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9E0A-F91C-4184-8417-EAC308E99474}">
  <sheetPr>
    <tabColor theme="9" tint="0.39997558519241921"/>
  </sheetPr>
  <dimension ref="A1:M22"/>
  <sheetViews>
    <sheetView workbookViewId="0">
      <selection activeCell="I12" sqref="I12"/>
    </sheetView>
  </sheetViews>
  <sheetFormatPr defaultColWidth="9.140625" defaultRowHeight="15" x14ac:dyDescent="0.25"/>
  <cols>
    <col min="1" max="1" width="23.140625" style="1" customWidth="1"/>
    <col min="2" max="2" width="23.85546875" style="1" customWidth="1"/>
    <col min="3" max="11" width="10.7109375" style="1" customWidth="1"/>
    <col min="12" max="13" width="10.28515625" customWidth="1"/>
    <col min="14" max="16384" width="9.140625" style="1"/>
  </cols>
  <sheetData>
    <row r="1" spans="1:11" s="1" customFormat="1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11" s="1" customFormat="1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11" s="1" customFormat="1" x14ac:dyDescent="0.25"/>
    <row r="4" spans="1:11" s="12" customFormat="1" ht="14.25" x14ac:dyDescent="0.2">
      <c r="A4" s="5" t="s">
        <v>154</v>
      </c>
      <c r="B4" s="5"/>
      <c r="C4" s="437" t="s">
        <v>3</v>
      </c>
      <c r="D4" s="437"/>
      <c r="E4" s="442" t="s">
        <v>4</v>
      </c>
      <c r="F4" s="443"/>
      <c r="G4" s="442" t="s">
        <v>5</v>
      </c>
      <c r="H4" s="443"/>
      <c r="I4" s="10" t="s">
        <v>570</v>
      </c>
    </row>
    <row r="5" spans="1:11" s="1" customFormat="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606</v>
      </c>
    </row>
    <row r="6" spans="1:11" s="1" customFormat="1" x14ac:dyDescent="0.25">
      <c r="A6" s="4" t="s">
        <v>155</v>
      </c>
      <c r="B6" s="4" t="s">
        <v>41</v>
      </c>
      <c r="C6" s="81"/>
      <c r="D6" s="83">
        <v>200</v>
      </c>
      <c r="E6" s="81"/>
      <c r="F6" s="72">
        <v>100</v>
      </c>
      <c r="G6" s="81"/>
      <c r="H6" s="72"/>
      <c r="I6" s="81"/>
    </row>
    <row r="7" spans="1:11" s="1" customFormat="1" x14ac:dyDescent="0.25">
      <c r="A7" s="4" t="s">
        <v>156</v>
      </c>
      <c r="B7" s="4" t="s">
        <v>157</v>
      </c>
      <c r="C7" s="86">
        <v>39415</v>
      </c>
      <c r="D7" s="75">
        <v>45620</v>
      </c>
      <c r="E7" s="86">
        <v>43950</v>
      </c>
      <c r="F7" s="75">
        <v>69695</v>
      </c>
      <c r="G7" s="86">
        <v>46526</v>
      </c>
      <c r="H7" s="75"/>
      <c r="I7" s="86">
        <f>G7*1.025</f>
        <v>47689.149999999994</v>
      </c>
    </row>
    <row r="8" spans="1:11" s="1" customFormat="1" x14ac:dyDescent="0.25">
      <c r="A8" s="4" t="s">
        <v>158</v>
      </c>
      <c r="B8" s="4" t="s">
        <v>159</v>
      </c>
      <c r="C8" s="86">
        <v>30303</v>
      </c>
      <c r="D8" s="75">
        <v>25073</v>
      </c>
      <c r="E8" s="86">
        <v>19600</v>
      </c>
      <c r="F8" s="75">
        <v>0</v>
      </c>
      <c r="G8" s="86">
        <v>19008</v>
      </c>
      <c r="H8" s="75"/>
      <c r="I8" s="86">
        <f>G8*1.025</f>
        <v>19483.199999999997</v>
      </c>
    </row>
    <row r="9" spans="1:11" s="1" customFormat="1" x14ac:dyDescent="0.25">
      <c r="A9" s="4" t="s">
        <v>160</v>
      </c>
      <c r="B9" s="4" t="s">
        <v>161</v>
      </c>
      <c r="C9" s="86">
        <v>12750</v>
      </c>
      <c r="D9" s="75">
        <v>13136</v>
      </c>
      <c r="E9" s="86">
        <v>13000</v>
      </c>
      <c r="F9" s="75">
        <v>10615</v>
      </c>
      <c r="G9" s="86">
        <v>14000</v>
      </c>
      <c r="H9" s="75"/>
      <c r="I9" s="86">
        <f>11204+423.36</f>
        <v>11627.36</v>
      </c>
    </row>
    <row r="10" spans="1:11" s="1" customFormat="1" x14ac:dyDescent="0.25">
      <c r="A10" s="4" t="s">
        <v>162</v>
      </c>
      <c r="B10" s="4" t="s">
        <v>163</v>
      </c>
      <c r="C10" s="86">
        <v>2242</v>
      </c>
      <c r="D10" s="75">
        <v>545</v>
      </c>
      <c r="E10" s="86">
        <v>750</v>
      </c>
      <c r="F10" s="75">
        <v>645</v>
      </c>
      <c r="G10" s="86">
        <v>1000</v>
      </c>
      <c r="H10" s="75"/>
      <c r="I10" s="86">
        <v>2000</v>
      </c>
    </row>
    <row r="11" spans="1:11" s="1" customFormat="1" x14ac:dyDescent="0.25">
      <c r="A11" s="4" t="s">
        <v>164</v>
      </c>
      <c r="B11" s="4" t="s">
        <v>165</v>
      </c>
      <c r="C11" s="86"/>
      <c r="D11" s="75"/>
      <c r="E11" s="86">
        <v>8119</v>
      </c>
      <c r="F11" s="75"/>
      <c r="G11" s="86">
        <v>8519</v>
      </c>
      <c r="H11" s="75"/>
      <c r="I11" s="86">
        <f>G11*1.025</f>
        <v>8731.9749999999985</v>
      </c>
    </row>
    <row r="12" spans="1:11" s="12" customFormat="1" ht="14.25" x14ac:dyDescent="0.2">
      <c r="A12" s="5" t="s">
        <v>9</v>
      </c>
      <c r="B12" s="5"/>
      <c r="C12" s="90">
        <f t="shared" ref="C12:G12" si="0">SUM(C6:C11)</f>
        <v>84710</v>
      </c>
      <c r="D12" s="74">
        <f t="shared" si="0"/>
        <v>84574</v>
      </c>
      <c r="E12" s="90">
        <f t="shared" si="0"/>
        <v>85419</v>
      </c>
      <c r="F12" s="74">
        <f t="shared" si="0"/>
        <v>81055</v>
      </c>
      <c r="G12" s="90">
        <f t="shared" si="0"/>
        <v>89053</v>
      </c>
      <c r="H12" s="74">
        <f t="shared" ref="H12:I12" si="1">SUM(H6:H11)</f>
        <v>0</v>
      </c>
      <c r="I12" s="90">
        <f t="shared" si="1"/>
        <v>89531.684999999998</v>
      </c>
    </row>
    <row r="14" spans="1:11" s="1" customFormat="1" x14ac:dyDescent="0.25">
      <c r="A14" s="71" t="s">
        <v>166</v>
      </c>
    </row>
    <row r="15" spans="1:11" s="1" customFormat="1" x14ac:dyDescent="0.25">
      <c r="B15" s="46"/>
    </row>
    <row r="16" spans="1:11" s="1" customFormat="1" x14ac:dyDescent="0.25">
      <c r="B16" s="77"/>
      <c r="C16" s="30"/>
      <c r="D16" s="30"/>
    </row>
    <row r="17" spans="2:8" s="1" customFormat="1" x14ac:dyDescent="0.25">
      <c r="C17" s="20"/>
      <c r="D17" s="20"/>
      <c r="E17" s="30"/>
      <c r="F17" s="30"/>
      <c r="G17" s="33"/>
    </row>
    <row r="18" spans="2:8" s="1" customFormat="1" x14ac:dyDescent="0.25">
      <c r="C18" s="30"/>
      <c r="D18" s="30"/>
    </row>
    <row r="19" spans="2:8" s="1" customFormat="1" x14ac:dyDescent="0.25">
      <c r="C19" s="30"/>
      <c r="D19" s="30"/>
      <c r="E19" s="30"/>
      <c r="F19" s="30"/>
      <c r="G19" s="30"/>
      <c r="H19" s="30"/>
    </row>
    <row r="20" spans="2:8" s="1" customFormat="1" x14ac:dyDescent="0.25">
      <c r="C20" s="30"/>
      <c r="D20" s="30"/>
      <c r="E20" s="30"/>
      <c r="F20" s="30"/>
      <c r="G20" s="30"/>
      <c r="H20" s="30"/>
    </row>
    <row r="21" spans="2:8" s="1" customFormat="1" x14ac:dyDescent="0.25">
      <c r="C21" s="30"/>
      <c r="D21" s="30"/>
      <c r="F21" s="30"/>
    </row>
    <row r="22" spans="2:8" s="1" customFormat="1" x14ac:dyDescent="0.25">
      <c r="B22" s="78"/>
      <c r="C22" s="30"/>
      <c r="D22" s="30"/>
      <c r="E22" s="30"/>
      <c r="F22" s="30"/>
      <c r="G22" s="30"/>
      <c r="H22" s="33"/>
    </row>
  </sheetData>
  <mergeCells count="5">
    <mergeCell ref="A1:K1"/>
    <mergeCell ref="A2:K2"/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A2FB-C93A-4454-A500-C275F8117923}">
  <sheetPr>
    <tabColor theme="9" tint="0.39997558519241921"/>
    <pageSetUpPr fitToPage="1"/>
  </sheetPr>
  <dimension ref="A1:M26"/>
  <sheetViews>
    <sheetView zoomScale="140" zoomScaleNormal="140" workbookViewId="0">
      <selection activeCell="A23" sqref="A23"/>
    </sheetView>
  </sheetViews>
  <sheetFormatPr defaultRowHeight="15" x14ac:dyDescent="0.25"/>
  <cols>
    <col min="1" max="1" width="22.85546875" customWidth="1"/>
    <col min="2" max="2" width="19" customWidth="1"/>
    <col min="3" max="13" width="10.5703125" customWidth="1"/>
    <col min="14" max="14" width="10.42578125" customWidth="1"/>
    <col min="15" max="15" width="12.5703125" customWidth="1"/>
  </cols>
  <sheetData>
    <row r="1" spans="1:13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1"/>
      <c r="L1" s="1"/>
      <c r="M1" s="1"/>
    </row>
    <row r="2" spans="1:13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5" t="s">
        <v>167</v>
      </c>
      <c r="B4" s="69"/>
      <c r="C4" s="437" t="s">
        <v>3</v>
      </c>
      <c r="D4" s="437"/>
      <c r="E4" s="437" t="s">
        <v>4</v>
      </c>
      <c r="F4" s="437"/>
      <c r="G4" s="442" t="s">
        <v>5</v>
      </c>
      <c r="H4" s="443"/>
      <c r="I4" s="10" t="s">
        <v>570</v>
      </c>
    </row>
    <row r="5" spans="1:13" x14ac:dyDescent="0.25">
      <c r="A5" s="4"/>
      <c r="B5" s="4"/>
      <c r="C5" s="79" t="s">
        <v>6</v>
      </c>
      <c r="D5" s="72" t="s">
        <v>7</v>
      </c>
      <c r="E5" s="79" t="s">
        <v>6</v>
      </c>
      <c r="F5" s="72" t="s">
        <v>7</v>
      </c>
      <c r="G5" s="79" t="s">
        <v>6</v>
      </c>
      <c r="H5" s="72" t="s">
        <v>594</v>
      </c>
      <c r="I5" s="79" t="s">
        <v>606</v>
      </c>
    </row>
    <row r="6" spans="1:13" x14ac:dyDescent="0.25">
      <c r="A6" s="4" t="s">
        <v>169</v>
      </c>
      <c r="B6" s="4" t="s">
        <v>170</v>
      </c>
      <c r="C6" s="84">
        <v>72148</v>
      </c>
      <c r="D6" s="85">
        <v>73872.63</v>
      </c>
      <c r="E6" s="84">
        <v>75800</v>
      </c>
      <c r="F6" s="75">
        <v>75798.39</v>
      </c>
      <c r="G6" s="86">
        <v>78074</v>
      </c>
      <c r="H6" s="75"/>
      <c r="I6" s="86">
        <v>78074</v>
      </c>
    </row>
    <row r="7" spans="1:13" x14ac:dyDescent="0.25">
      <c r="A7" s="4" t="s">
        <v>171</v>
      </c>
      <c r="B7" s="4" t="s">
        <v>95</v>
      </c>
      <c r="C7" s="86">
        <v>38472</v>
      </c>
      <c r="D7" s="75">
        <v>33477.31</v>
      </c>
      <c r="E7" s="86">
        <v>40420</v>
      </c>
      <c r="F7" s="75">
        <v>36829.879999999997</v>
      </c>
      <c r="G7" s="86">
        <v>41632.6</v>
      </c>
      <c r="H7" s="75"/>
      <c r="I7" s="86">
        <v>41632.6</v>
      </c>
    </row>
    <row r="8" spans="1:13" x14ac:dyDescent="0.25">
      <c r="A8" s="87" t="s">
        <v>75</v>
      </c>
      <c r="B8" s="87"/>
      <c r="C8" s="88">
        <f t="shared" ref="C8:F8" si="0">SUM(C6:C7)</f>
        <v>110620</v>
      </c>
      <c r="D8" s="89">
        <f t="shared" si="0"/>
        <v>107349.94</v>
      </c>
      <c r="E8" s="88">
        <f t="shared" si="0"/>
        <v>116220</v>
      </c>
      <c r="F8" s="89">
        <f t="shared" si="0"/>
        <v>112628.26999999999</v>
      </c>
      <c r="G8" s="88">
        <v>119706.6</v>
      </c>
      <c r="H8" s="89">
        <f t="shared" ref="H8:I8" si="1">SUM(H6:H7)</f>
        <v>0</v>
      </c>
      <c r="I8" s="89">
        <f t="shared" si="1"/>
        <v>119706.6</v>
      </c>
    </row>
    <row r="9" spans="1:13" x14ac:dyDescent="0.25">
      <c r="A9" s="4" t="s">
        <v>172</v>
      </c>
      <c r="B9" s="4" t="s">
        <v>173</v>
      </c>
      <c r="C9" s="86">
        <v>3000</v>
      </c>
      <c r="D9" s="75">
        <v>2981.02</v>
      </c>
      <c r="E9" s="86">
        <v>3100</v>
      </c>
      <c r="F9" s="75">
        <v>2981.02</v>
      </c>
      <c r="G9" s="86">
        <v>3100</v>
      </c>
      <c r="H9" s="75">
        <v>2864</v>
      </c>
      <c r="I9" s="86">
        <v>3100</v>
      </c>
    </row>
    <row r="10" spans="1:13" x14ac:dyDescent="0.25">
      <c r="A10" s="4" t="s">
        <v>174</v>
      </c>
      <c r="B10" s="4" t="s">
        <v>22</v>
      </c>
      <c r="C10" s="86">
        <v>50</v>
      </c>
      <c r="D10" s="75">
        <v>38.450000000000003</v>
      </c>
      <c r="E10" s="86">
        <v>50</v>
      </c>
      <c r="F10" s="75">
        <v>20.55</v>
      </c>
      <c r="G10" s="86">
        <v>50</v>
      </c>
      <c r="H10" s="75">
        <v>28</v>
      </c>
      <c r="I10" s="86">
        <v>75</v>
      </c>
    </row>
    <row r="11" spans="1:13" x14ac:dyDescent="0.25">
      <c r="A11" s="4" t="s">
        <v>175</v>
      </c>
      <c r="B11" s="4" t="s">
        <v>130</v>
      </c>
      <c r="C11" s="86">
        <v>300</v>
      </c>
      <c r="D11" s="75">
        <v>628.63</v>
      </c>
      <c r="E11" s="86">
        <v>300</v>
      </c>
      <c r="F11" s="75">
        <v>250</v>
      </c>
      <c r="G11" s="86">
        <v>1000</v>
      </c>
      <c r="H11" s="75">
        <v>1024</v>
      </c>
      <c r="I11" s="86">
        <v>1200</v>
      </c>
    </row>
    <row r="12" spans="1:13" x14ac:dyDescent="0.25">
      <c r="A12" s="4" t="s">
        <v>176</v>
      </c>
      <c r="B12" s="4" t="s">
        <v>114</v>
      </c>
      <c r="C12" s="86">
        <v>2300</v>
      </c>
      <c r="D12" s="75">
        <v>470.64</v>
      </c>
      <c r="E12" s="86">
        <v>2400</v>
      </c>
      <c r="F12" s="75">
        <v>2179.89</v>
      </c>
      <c r="G12" s="86">
        <v>2400</v>
      </c>
      <c r="H12" s="75">
        <v>179</v>
      </c>
      <c r="I12" s="86">
        <v>2400</v>
      </c>
    </row>
    <row r="13" spans="1:13" x14ac:dyDescent="0.25">
      <c r="A13" s="4" t="s">
        <v>177</v>
      </c>
      <c r="B13" s="4" t="s">
        <v>178</v>
      </c>
      <c r="C13" s="86">
        <v>5500</v>
      </c>
      <c r="D13" s="75">
        <v>2271.12</v>
      </c>
      <c r="E13" s="86">
        <v>5500</v>
      </c>
      <c r="F13" s="75">
        <v>2563.9</v>
      </c>
      <c r="G13" s="86">
        <v>5500</v>
      </c>
      <c r="H13" s="75">
        <v>1258</v>
      </c>
      <c r="I13" s="86">
        <v>5500</v>
      </c>
    </row>
    <row r="14" spans="1:13" x14ac:dyDescent="0.25">
      <c r="A14" s="4" t="s">
        <v>179</v>
      </c>
      <c r="B14" s="4" t="s">
        <v>24</v>
      </c>
      <c r="C14" s="86">
        <v>2000</v>
      </c>
      <c r="D14" s="75">
        <v>121.85</v>
      </c>
      <c r="E14" s="86">
        <v>2000</v>
      </c>
      <c r="F14" s="75">
        <v>269.97000000000003</v>
      </c>
      <c r="G14" s="86">
        <v>2000</v>
      </c>
      <c r="H14" s="75">
        <v>78</v>
      </c>
      <c r="I14" s="86">
        <v>2000</v>
      </c>
    </row>
    <row r="15" spans="1:13" x14ac:dyDescent="0.25">
      <c r="A15" s="4" t="s">
        <v>180</v>
      </c>
      <c r="B15" s="4" t="s">
        <v>117</v>
      </c>
      <c r="C15" s="86">
        <v>0</v>
      </c>
      <c r="D15" s="75"/>
      <c r="E15" s="86">
        <v>0</v>
      </c>
      <c r="F15" s="75"/>
      <c r="G15" s="86">
        <v>0</v>
      </c>
      <c r="H15" s="75"/>
      <c r="I15" s="86"/>
    </row>
    <row r="16" spans="1:13" x14ac:dyDescent="0.25">
      <c r="A16" s="4" t="s">
        <v>181</v>
      </c>
      <c r="B16" s="4" t="s">
        <v>182</v>
      </c>
      <c r="C16" s="86">
        <v>2000</v>
      </c>
      <c r="D16" s="75">
        <v>2144.13</v>
      </c>
      <c r="E16" s="86">
        <v>2500</v>
      </c>
      <c r="F16" s="75">
        <v>2633.65</v>
      </c>
      <c r="G16" s="86">
        <v>3000</v>
      </c>
      <c r="H16" s="75">
        <v>1217</v>
      </c>
      <c r="I16" s="86">
        <v>3500</v>
      </c>
    </row>
    <row r="17" spans="1:13" x14ac:dyDescent="0.25">
      <c r="A17" s="4" t="s">
        <v>183</v>
      </c>
      <c r="B17" s="4" t="s">
        <v>184</v>
      </c>
      <c r="C17" s="86">
        <v>1900</v>
      </c>
      <c r="D17" s="75">
        <v>0</v>
      </c>
      <c r="E17" s="86">
        <v>1925</v>
      </c>
      <c r="F17" s="75">
        <v>1158.3599999999999</v>
      </c>
      <c r="G17" s="86">
        <v>1925</v>
      </c>
      <c r="H17" s="75"/>
      <c r="I17" s="86">
        <v>2950</v>
      </c>
    </row>
    <row r="18" spans="1:13" x14ac:dyDescent="0.25">
      <c r="A18" s="4" t="s">
        <v>185</v>
      </c>
      <c r="B18" s="4" t="s">
        <v>186</v>
      </c>
      <c r="C18" s="86">
        <v>1000</v>
      </c>
      <c r="D18" s="75">
        <v>606.79999999999995</v>
      </c>
      <c r="E18" s="86">
        <v>1000</v>
      </c>
      <c r="F18" s="75">
        <v>390.55</v>
      </c>
      <c r="G18" s="86">
        <v>1000</v>
      </c>
      <c r="H18" s="75">
        <v>112</v>
      </c>
      <c r="I18" s="86">
        <v>1000</v>
      </c>
    </row>
    <row r="19" spans="1:13" x14ac:dyDescent="0.25">
      <c r="A19" s="11" t="s">
        <v>82</v>
      </c>
      <c r="B19" s="11"/>
      <c r="C19" s="88">
        <f t="shared" ref="C19:F19" si="2">SUM(C9:C18)</f>
        <v>18050</v>
      </c>
      <c r="D19" s="89">
        <f t="shared" si="2"/>
        <v>9262.64</v>
      </c>
      <c r="E19" s="88">
        <f t="shared" si="2"/>
        <v>18775</v>
      </c>
      <c r="F19" s="89">
        <f t="shared" si="2"/>
        <v>12447.89</v>
      </c>
      <c r="G19" s="88">
        <v>19975</v>
      </c>
      <c r="H19" s="89">
        <f t="shared" ref="H19:I19" si="3">SUM(H9:H18)</f>
        <v>6760</v>
      </c>
      <c r="I19" s="89">
        <f t="shared" si="3"/>
        <v>21725</v>
      </c>
    </row>
    <row r="20" spans="1:13" x14ac:dyDescent="0.25">
      <c r="A20" s="5" t="s">
        <v>9</v>
      </c>
      <c r="B20" s="5" t="s">
        <v>9</v>
      </c>
      <c r="C20" s="90">
        <f t="shared" ref="C20:F20" si="4">C8+C19</f>
        <v>128670</v>
      </c>
      <c r="D20" s="74">
        <f t="shared" si="4"/>
        <v>116612.58</v>
      </c>
      <c r="E20" s="90">
        <f t="shared" si="4"/>
        <v>134995</v>
      </c>
      <c r="F20" s="74">
        <f t="shared" si="4"/>
        <v>125076.15999999999</v>
      </c>
      <c r="G20" s="90">
        <v>139681.60000000001</v>
      </c>
      <c r="H20" s="74">
        <f t="shared" ref="H20:I20" si="5">H8+H19</f>
        <v>6760</v>
      </c>
      <c r="I20" s="74">
        <f t="shared" si="5"/>
        <v>141431.6</v>
      </c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71" t="s">
        <v>627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5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60" t="s">
        <v>577</v>
      </c>
      <c r="B24" s="217">
        <v>1142.2</v>
      </c>
    </row>
    <row r="25" spans="1:13" x14ac:dyDescent="0.25">
      <c r="A25" s="60" t="s">
        <v>584</v>
      </c>
      <c r="B25" s="217">
        <v>3982.85</v>
      </c>
    </row>
    <row r="26" spans="1:13" x14ac:dyDescent="0.25">
      <c r="E26" s="153"/>
    </row>
  </sheetData>
  <mergeCells count="5">
    <mergeCell ref="A1:J1"/>
    <mergeCell ref="A2:J2"/>
    <mergeCell ref="C4:D4"/>
    <mergeCell ref="E4:F4"/>
    <mergeCell ref="G4:H4"/>
  </mergeCells>
  <pageMargins left="0.7" right="0.7" top="0.75" bottom="0.75" header="0.3" footer="0.3"/>
  <pageSetup scale="9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4450-B1FA-45FE-9F48-F7F50FD257E4}">
  <sheetPr>
    <tabColor theme="9" tint="0.39997558519241921"/>
  </sheetPr>
  <dimension ref="A1:CC6404"/>
  <sheetViews>
    <sheetView topLeftCell="A4" zoomScale="120" zoomScaleNormal="120" workbookViewId="0">
      <selection activeCell="I11" sqref="I11"/>
    </sheetView>
  </sheetViews>
  <sheetFormatPr defaultColWidth="9.140625" defaultRowHeight="15" x14ac:dyDescent="0.25"/>
  <cols>
    <col min="1" max="1" width="26.42578125" style="1" customWidth="1"/>
    <col min="2" max="2" width="18" style="1" customWidth="1"/>
    <col min="3" max="7" width="10.7109375" style="1" customWidth="1"/>
    <col min="8" max="8" width="10.7109375" style="141" customWidth="1"/>
    <col min="9" max="12" width="10.7109375" style="1" customWidth="1"/>
    <col min="13" max="16384" width="9.140625" style="1"/>
  </cols>
  <sheetData>
    <row r="1" spans="1:12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6"/>
      <c r="L1" s="46"/>
    </row>
    <row r="2" spans="1:12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6"/>
      <c r="L2" s="46"/>
    </row>
    <row r="3" spans="1:12" x14ac:dyDescent="0.25">
      <c r="H3" s="1"/>
    </row>
    <row r="4" spans="1:12" s="12" customFormat="1" ht="14.25" x14ac:dyDescent="0.2">
      <c r="A4" s="2" t="s">
        <v>192</v>
      </c>
      <c r="B4" s="2"/>
      <c r="C4" s="442" t="s">
        <v>168</v>
      </c>
      <c r="D4" s="443"/>
      <c r="E4" s="442" t="s">
        <v>4</v>
      </c>
      <c r="F4" s="443"/>
      <c r="G4" s="442" t="s">
        <v>5</v>
      </c>
      <c r="H4" s="443"/>
      <c r="I4" s="10" t="s">
        <v>570</v>
      </c>
    </row>
    <row r="5" spans="1:12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594</v>
      </c>
      <c r="I5" s="81" t="s">
        <v>606</v>
      </c>
    </row>
    <row r="6" spans="1:12" x14ac:dyDescent="0.25">
      <c r="A6" s="4" t="s">
        <v>194</v>
      </c>
      <c r="B6" s="4" t="s">
        <v>516</v>
      </c>
      <c r="C6" s="230">
        <v>7919</v>
      </c>
      <c r="D6" s="139">
        <v>8300</v>
      </c>
      <c r="E6" s="230">
        <v>9390</v>
      </c>
      <c r="F6" s="75">
        <v>8743.43</v>
      </c>
      <c r="G6" s="86">
        <v>10551.22</v>
      </c>
      <c r="H6" s="75"/>
      <c r="I6" s="86">
        <v>10551</v>
      </c>
    </row>
    <row r="7" spans="1:12" x14ac:dyDescent="0.25">
      <c r="A7" s="4" t="s">
        <v>193</v>
      </c>
      <c r="B7" s="4" t="s">
        <v>641</v>
      </c>
      <c r="C7" s="230">
        <v>863</v>
      </c>
      <c r="D7" s="139">
        <v>905.4</v>
      </c>
      <c r="E7" s="230">
        <v>907</v>
      </c>
      <c r="F7" s="75"/>
      <c r="G7" s="86">
        <v>964.08</v>
      </c>
      <c r="H7" s="75"/>
      <c r="I7" s="86">
        <v>0</v>
      </c>
    </row>
    <row r="8" spans="1:12" x14ac:dyDescent="0.25">
      <c r="A8" s="4" t="s">
        <v>194</v>
      </c>
      <c r="B8" s="4" t="s">
        <v>337</v>
      </c>
      <c r="C8" s="230"/>
      <c r="D8" s="139"/>
      <c r="E8" s="230"/>
      <c r="F8" s="75"/>
      <c r="G8" s="86"/>
      <c r="H8" s="75"/>
      <c r="I8" s="251">
        <v>203.28</v>
      </c>
    </row>
    <row r="9" spans="1:12" x14ac:dyDescent="0.25">
      <c r="A9" s="4" t="s">
        <v>194</v>
      </c>
      <c r="B9" s="4" t="s">
        <v>337</v>
      </c>
      <c r="C9" s="230"/>
      <c r="D9" s="139"/>
      <c r="E9" s="230"/>
      <c r="F9" s="75"/>
      <c r="G9" s="86"/>
      <c r="H9" s="75"/>
      <c r="I9" s="251">
        <v>203.28</v>
      </c>
    </row>
    <row r="10" spans="1:12" x14ac:dyDescent="0.25">
      <c r="A10" s="4" t="s">
        <v>194</v>
      </c>
      <c r="B10" s="4" t="s">
        <v>336</v>
      </c>
      <c r="C10" s="230"/>
      <c r="D10" s="139"/>
      <c r="E10" s="230"/>
      <c r="F10" s="75"/>
      <c r="G10" s="86"/>
      <c r="H10" s="75"/>
      <c r="I10" s="251">
        <v>203.28</v>
      </c>
    </row>
    <row r="11" spans="1:12" x14ac:dyDescent="0.25">
      <c r="A11" s="4" t="s">
        <v>193</v>
      </c>
      <c r="B11" s="4" t="s">
        <v>195</v>
      </c>
      <c r="C11" s="230">
        <v>27891</v>
      </c>
      <c r="D11" s="139">
        <v>33502</v>
      </c>
      <c r="E11" s="230">
        <v>29303</v>
      </c>
      <c r="F11" s="75">
        <v>13132.35</v>
      </c>
      <c r="G11" s="86">
        <v>30182.09</v>
      </c>
      <c r="H11" s="75">
        <v>7952.44</v>
      </c>
      <c r="I11" s="86">
        <f>G11-SUM(I8:I10)</f>
        <v>29572.25</v>
      </c>
    </row>
    <row r="12" spans="1:12" x14ac:dyDescent="0.25">
      <c r="A12" s="4" t="s">
        <v>193</v>
      </c>
      <c r="B12" s="4" t="s">
        <v>95</v>
      </c>
      <c r="C12" s="230"/>
      <c r="D12" s="139"/>
      <c r="E12" s="230"/>
      <c r="F12" s="75">
        <v>15730.94</v>
      </c>
      <c r="G12" s="86">
        <v>0</v>
      </c>
      <c r="H12" s="75"/>
      <c r="I12" s="86"/>
    </row>
    <row r="13" spans="1:12" s="12" customFormat="1" ht="14.25" x14ac:dyDescent="0.2">
      <c r="A13" s="11" t="s">
        <v>75</v>
      </c>
      <c r="B13" s="11"/>
      <c r="C13" s="88">
        <f t="shared" ref="C13:F13" si="0">SUM(C6:C12)</f>
        <v>36673</v>
      </c>
      <c r="D13" s="89">
        <f t="shared" si="0"/>
        <v>42707.4</v>
      </c>
      <c r="E13" s="88">
        <f t="shared" si="0"/>
        <v>39600</v>
      </c>
      <c r="F13" s="89">
        <f t="shared" si="0"/>
        <v>37606.720000000001</v>
      </c>
      <c r="G13" s="88">
        <v>41697.39</v>
      </c>
      <c r="H13" s="89">
        <f t="shared" ref="H13:I13" si="1">SUM(H6:H12)</f>
        <v>7952.44</v>
      </c>
      <c r="I13" s="88">
        <f t="shared" si="1"/>
        <v>40733.090000000004</v>
      </c>
    </row>
    <row r="14" spans="1:12" x14ac:dyDescent="0.25">
      <c r="A14" s="4" t="s">
        <v>196</v>
      </c>
      <c r="B14" s="4" t="s">
        <v>41</v>
      </c>
      <c r="C14" s="86"/>
      <c r="D14" s="75">
        <v>126</v>
      </c>
      <c r="E14" s="86"/>
      <c r="F14" s="75">
        <v>100.95</v>
      </c>
      <c r="G14" s="86"/>
      <c r="H14" s="75"/>
      <c r="I14" s="86"/>
    </row>
    <row r="15" spans="1:12" x14ac:dyDescent="0.25">
      <c r="A15" s="4" t="s">
        <v>197</v>
      </c>
      <c r="B15" s="4" t="s">
        <v>173</v>
      </c>
      <c r="C15" s="86">
        <v>7100</v>
      </c>
      <c r="D15" s="75">
        <v>683</v>
      </c>
      <c r="E15" s="86">
        <v>7100</v>
      </c>
      <c r="F15" s="75">
        <v>3692.02</v>
      </c>
      <c r="G15" s="86">
        <v>7100</v>
      </c>
      <c r="H15" s="75">
        <v>3196.06</v>
      </c>
      <c r="I15" s="86">
        <v>3700</v>
      </c>
    </row>
    <row r="16" spans="1:12" x14ac:dyDescent="0.25">
      <c r="A16" s="4" t="s">
        <v>198</v>
      </c>
      <c r="B16" s="4" t="s">
        <v>130</v>
      </c>
      <c r="C16" s="230">
        <v>855</v>
      </c>
      <c r="D16" s="139">
        <v>4211.0200000000004</v>
      </c>
      <c r="E16" s="230">
        <v>855</v>
      </c>
      <c r="F16" s="75">
        <v>930</v>
      </c>
      <c r="G16" s="86">
        <v>855</v>
      </c>
      <c r="H16" s="75">
        <v>375</v>
      </c>
      <c r="I16" s="86">
        <v>855</v>
      </c>
    </row>
    <row r="17" spans="1:81" x14ac:dyDescent="0.25">
      <c r="A17" s="4" t="s">
        <v>199</v>
      </c>
      <c r="B17" s="4" t="s">
        <v>114</v>
      </c>
      <c r="C17" s="230">
        <v>1000</v>
      </c>
      <c r="D17" s="139">
        <v>302.45</v>
      </c>
      <c r="E17" s="230">
        <v>1000</v>
      </c>
      <c r="F17" s="75">
        <v>397.55</v>
      </c>
      <c r="G17" s="86">
        <v>1000</v>
      </c>
      <c r="H17" s="75">
        <v>511.25</v>
      </c>
      <c r="I17" s="86">
        <v>1000</v>
      </c>
    </row>
    <row r="18" spans="1:81" x14ac:dyDescent="0.25">
      <c r="A18" s="4" t="s">
        <v>200</v>
      </c>
      <c r="B18" s="4" t="s">
        <v>201</v>
      </c>
      <c r="C18" s="230">
        <v>300</v>
      </c>
      <c r="D18" s="139">
        <v>1882.98</v>
      </c>
      <c r="E18" s="230">
        <v>300</v>
      </c>
      <c r="F18" s="75">
        <v>319.63</v>
      </c>
      <c r="G18" s="86">
        <v>300</v>
      </c>
      <c r="H18" s="75">
        <v>114.2</v>
      </c>
      <c r="I18" s="86">
        <v>300</v>
      </c>
    </row>
    <row r="19" spans="1:81" x14ac:dyDescent="0.25">
      <c r="A19" s="4" t="s">
        <v>202</v>
      </c>
      <c r="B19" s="4" t="s">
        <v>203</v>
      </c>
      <c r="C19" s="86">
        <v>1350</v>
      </c>
      <c r="D19" s="75">
        <v>569.88</v>
      </c>
      <c r="E19" s="86">
        <v>1350</v>
      </c>
      <c r="F19" s="75">
        <v>883.49</v>
      </c>
      <c r="G19" s="86">
        <v>1000</v>
      </c>
      <c r="H19" s="75">
        <v>367.44</v>
      </c>
      <c r="I19" s="86">
        <v>900</v>
      </c>
    </row>
    <row r="20" spans="1:81" x14ac:dyDescent="0.25">
      <c r="A20" s="4" t="s">
        <v>204</v>
      </c>
      <c r="B20" s="4" t="s">
        <v>205</v>
      </c>
      <c r="C20" s="230">
        <v>300</v>
      </c>
      <c r="D20" s="139">
        <v>394.43</v>
      </c>
      <c r="E20" s="230">
        <v>300</v>
      </c>
      <c r="F20" s="75">
        <v>654.46</v>
      </c>
      <c r="G20" s="86">
        <v>350</v>
      </c>
      <c r="H20" s="75">
        <v>227.94</v>
      </c>
      <c r="I20" s="86">
        <v>500</v>
      </c>
    </row>
    <row r="21" spans="1:81" x14ac:dyDescent="0.25">
      <c r="A21" s="4" t="s">
        <v>206</v>
      </c>
      <c r="B21" s="4" t="s">
        <v>24</v>
      </c>
      <c r="C21" s="230">
        <v>3000</v>
      </c>
      <c r="D21" s="139">
        <v>2830.76</v>
      </c>
      <c r="E21" s="230">
        <v>3000</v>
      </c>
      <c r="F21" s="75">
        <v>3706.33</v>
      </c>
      <c r="G21" s="86">
        <v>3000</v>
      </c>
      <c r="H21" s="75">
        <v>1.44</v>
      </c>
      <c r="I21" s="86">
        <v>3000</v>
      </c>
    </row>
    <row r="22" spans="1:81" x14ac:dyDescent="0.25">
      <c r="A22" s="4" t="s">
        <v>207</v>
      </c>
      <c r="B22" s="4" t="s">
        <v>182</v>
      </c>
      <c r="C22" s="86">
        <v>7500</v>
      </c>
      <c r="D22" s="75">
        <v>9732.26</v>
      </c>
      <c r="E22" s="86">
        <v>7500</v>
      </c>
      <c r="F22" s="75">
        <v>7473</v>
      </c>
      <c r="G22" s="86">
        <v>10000</v>
      </c>
      <c r="H22" s="75">
        <v>795.94</v>
      </c>
      <c r="I22" s="86">
        <v>10000</v>
      </c>
    </row>
    <row r="23" spans="1:81" x14ac:dyDescent="0.25">
      <c r="A23" s="4" t="s">
        <v>208</v>
      </c>
      <c r="B23" s="4" t="s">
        <v>117</v>
      </c>
      <c r="C23" s="230">
        <v>14600</v>
      </c>
      <c r="D23" s="139">
        <v>10204.280000000001</v>
      </c>
      <c r="E23" s="230">
        <v>10000</v>
      </c>
      <c r="F23" s="75">
        <v>10893.34</v>
      </c>
      <c r="G23" s="86">
        <v>10000</v>
      </c>
      <c r="H23" s="75">
        <v>12203.85</v>
      </c>
      <c r="I23" s="86">
        <v>10000</v>
      </c>
    </row>
    <row r="24" spans="1:81" s="52" customFormat="1" x14ac:dyDescent="0.25">
      <c r="A24" s="51" t="s">
        <v>209</v>
      </c>
      <c r="B24" s="51" t="s">
        <v>210</v>
      </c>
      <c r="C24" s="230" t="s">
        <v>211</v>
      </c>
      <c r="D24" s="139"/>
      <c r="E24" s="230">
        <v>2000</v>
      </c>
      <c r="F24" s="75"/>
      <c r="G24" s="86">
        <v>2000</v>
      </c>
      <c r="H24" s="75"/>
      <c r="I24" s="86">
        <v>2000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</row>
    <row r="25" spans="1:81" s="52" customFormat="1" x14ac:dyDescent="0.25">
      <c r="A25" s="51" t="s">
        <v>212</v>
      </c>
      <c r="B25" s="51" t="s">
        <v>213</v>
      </c>
      <c r="C25" s="230" t="s">
        <v>211</v>
      </c>
      <c r="D25" s="139"/>
      <c r="E25" s="230">
        <v>6400</v>
      </c>
      <c r="F25" s="75"/>
      <c r="G25" s="86">
        <v>6400</v>
      </c>
      <c r="H25" s="75"/>
      <c r="I25" s="86">
        <v>8000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</row>
    <row r="26" spans="1:81" s="140" customFormat="1" ht="14.25" x14ac:dyDescent="0.2">
      <c r="A26" s="87" t="s">
        <v>82</v>
      </c>
      <c r="B26" s="87"/>
      <c r="C26" s="88">
        <f t="shared" ref="C26:F26" si="2">SUM(C14:C25)</f>
        <v>36005</v>
      </c>
      <c r="D26" s="89">
        <f t="shared" si="2"/>
        <v>30937.059999999998</v>
      </c>
      <c r="E26" s="88">
        <f t="shared" si="2"/>
        <v>39805</v>
      </c>
      <c r="F26" s="89">
        <f t="shared" si="2"/>
        <v>29050.77</v>
      </c>
      <c r="G26" s="88">
        <v>42005</v>
      </c>
      <c r="H26" s="89">
        <f t="shared" ref="H26:I26" si="3">SUM(H14:H25)</f>
        <v>17793.12</v>
      </c>
      <c r="I26" s="88">
        <f t="shared" si="3"/>
        <v>40255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</row>
    <row r="27" spans="1:81" s="12" customFormat="1" ht="14.25" x14ac:dyDescent="0.2">
      <c r="A27" s="5" t="s">
        <v>9</v>
      </c>
      <c r="B27" s="5"/>
      <c r="C27" s="90">
        <f t="shared" ref="C27:F27" si="4">C13+C26</f>
        <v>72678</v>
      </c>
      <c r="D27" s="74">
        <f t="shared" si="4"/>
        <v>73644.459999999992</v>
      </c>
      <c r="E27" s="90">
        <f t="shared" si="4"/>
        <v>79405</v>
      </c>
      <c r="F27" s="74">
        <f t="shared" si="4"/>
        <v>66657.490000000005</v>
      </c>
      <c r="G27" s="90">
        <v>83702.39</v>
      </c>
      <c r="H27" s="74">
        <f t="shared" ref="H27:I27" si="5">H13+H26</f>
        <v>25745.559999999998</v>
      </c>
      <c r="I27" s="90">
        <f t="shared" si="5"/>
        <v>80988.09</v>
      </c>
    </row>
    <row r="28" spans="1:81" x14ac:dyDescent="0.25">
      <c r="A28" s="27" t="s">
        <v>214</v>
      </c>
      <c r="H28" s="1"/>
    </row>
    <row r="29" spans="1:81" x14ac:dyDescent="0.25">
      <c r="A29" s="59" t="s">
        <v>640</v>
      </c>
      <c r="H29"/>
      <c r="I29" s="30"/>
    </row>
    <row r="30" spans="1:81" x14ac:dyDescent="0.25">
      <c r="A30" s="59" t="s">
        <v>627</v>
      </c>
      <c r="B30" s="71"/>
      <c r="H30"/>
      <c r="I30" s="30"/>
    </row>
    <row r="31" spans="1:81" x14ac:dyDescent="0.25">
      <c r="A31" s="59" t="s">
        <v>577</v>
      </c>
      <c r="B31" s="56">
        <v>0.87</v>
      </c>
      <c r="H31"/>
    </row>
    <row r="32" spans="1:81" x14ac:dyDescent="0.25">
      <c r="A32" s="59" t="s">
        <v>585</v>
      </c>
      <c r="B32" s="56">
        <v>4788.09</v>
      </c>
      <c r="F32" s="56"/>
      <c r="H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</sheetData>
  <mergeCells count="5">
    <mergeCell ref="A1:J1"/>
    <mergeCell ref="A2:J2"/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303B-6636-4F46-9F2A-50C0E879831F}">
  <sheetPr>
    <tabColor theme="9" tint="0.39997558519241921"/>
    <pageSetUpPr fitToPage="1"/>
  </sheetPr>
  <dimension ref="A1:Q30"/>
  <sheetViews>
    <sheetView topLeftCell="A4" zoomScale="120" zoomScaleNormal="120" workbookViewId="0">
      <selection activeCell="K27" sqref="K27"/>
    </sheetView>
  </sheetViews>
  <sheetFormatPr defaultColWidth="9.140625" defaultRowHeight="15" x14ac:dyDescent="0.25"/>
  <cols>
    <col min="1" max="1" width="23.42578125" style="1" customWidth="1"/>
    <col min="2" max="2" width="25.28515625" style="1" customWidth="1"/>
    <col min="3" max="3" width="0.5703125" style="1" hidden="1" customWidth="1"/>
    <col min="4" max="4" width="0.140625" style="1" customWidth="1"/>
    <col min="5" max="8" width="10.7109375" style="1" customWidth="1"/>
    <col min="9" max="9" width="10" style="1" customWidth="1"/>
    <col min="10" max="11" width="10.42578125" style="1" customWidth="1"/>
    <col min="13" max="13" width="9.140625" style="253"/>
    <col min="14" max="14" width="10" bestFit="1" customWidth="1"/>
    <col min="18" max="16384" width="9.140625" style="1"/>
  </cols>
  <sheetData>
    <row r="1" spans="1:17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</row>
    <row r="2" spans="1:17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K2" s="154"/>
    </row>
    <row r="4" spans="1:17" s="12" customFormat="1" x14ac:dyDescent="0.25">
      <c r="A4" s="2" t="s">
        <v>215</v>
      </c>
      <c r="B4" s="11"/>
      <c r="C4" s="437" t="s">
        <v>216</v>
      </c>
      <c r="D4" s="437"/>
      <c r="E4" s="456" t="s">
        <v>2</v>
      </c>
      <c r="F4" s="456"/>
      <c r="G4" s="454" t="s">
        <v>3</v>
      </c>
      <c r="H4" s="455"/>
      <c r="I4" s="454" t="s">
        <v>4</v>
      </c>
      <c r="J4" s="455"/>
      <c r="K4" s="454" t="s">
        <v>5</v>
      </c>
      <c r="L4" s="455"/>
      <c r="M4" s="254" t="s">
        <v>570</v>
      </c>
      <c r="N4" s="426">
        <v>0.02</v>
      </c>
      <c r="O4"/>
      <c r="P4"/>
      <c r="Q4"/>
    </row>
    <row r="5" spans="1:17" x14ac:dyDescent="0.25">
      <c r="A5" s="4"/>
      <c r="B5" s="4"/>
      <c r="C5" s="24" t="s">
        <v>6</v>
      </c>
      <c r="D5" s="24" t="s">
        <v>7</v>
      </c>
      <c r="E5" s="81" t="s">
        <v>8</v>
      </c>
      <c r="F5" s="72" t="s">
        <v>7</v>
      </c>
      <c r="G5" s="81" t="s">
        <v>6</v>
      </c>
      <c r="H5" s="72" t="s">
        <v>7</v>
      </c>
      <c r="I5" s="81" t="s">
        <v>6</v>
      </c>
      <c r="J5" s="72" t="s">
        <v>7</v>
      </c>
      <c r="K5" s="81" t="s">
        <v>6</v>
      </c>
      <c r="L5" s="72" t="s">
        <v>7</v>
      </c>
      <c r="M5" s="255" t="s">
        <v>6</v>
      </c>
      <c r="N5" s="255" t="s">
        <v>6</v>
      </c>
    </row>
    <row r="6" spans="1:17" x14ac:dyDescent="0.25">
      <c r="A6" s="4" t="s">
        <v>453</v>
      </c>
      <c r="B6" s="4" t="s">
        <v>455</v>
      </c>
      <c r="C6" s="142">
        <v>6135</v>
      </c>
      <c r="D6" s="142">
        <v>6057.29</v>
      </c>
      <c r="E6" s="86">
        <v>6741</v>
      </c>
      <c r="F6" s="75">
        <v>6741</v>
      </c>
      <c r="G6" s="86">
        <v>9371</v>
      </c>
      <c r="H6" s="75">
        <v>3463.95</v>
      </c>
      <c r="I6" s="86">
        <v>9371</v>
      </c>
      <c r="J6" s="75"/>
      <c r="K6" s="86">
        <f>I6+2630</f>
        <v>12001</v>
      </c>
      <c r="L6" s="75"/>
      <c r="M6" s="239">
        <v>12001</v>
      </c>
      <c r="N6" s="239">
        <f>12001*1.02</f>
        <v>12241.02</v>
      </c>
    </row>
    <row r="7" spans="1:17" x14ac:dyDescent="0.25">
      <c r="A7" s="4" t="s">
        <v>453</v>
      </c>
      <c r="B7" s="4" t="s">
        <v>454</v>
      </c>
      <c r="C7" s="142">
        <v>511</v>
      </c>
      <c r="D7" s="142">
        <v>0</v>
      </c>
      <c r="E7" s="86">
        <v>2252</v>
      </c>
      <c r="F7" s="75">
        <v>586.58000000000004</v>
      </c>
      <c r="G7" s="86">
        <v>2252</v>
      </c>
      <c r="H7" s="75">
        <v>6493.62</v>
      </c>
      <c r="I7" s="86">
        <v>5000</v>
      </c>
      <c r="J7" s="75"/>
      <c r="K7" s="86">
        <v>5384.3249999999998</v>
      </c>
      <c r="L7" s="75"/>
      <c r="M7" s="239">
        <v>5384</v>
      </c>
      <c r="N7" s="239">
        <f>5384*1.02</f>
        <v>5491.68</v>
      </c>
    </row>
    <row r="8" spans="1:17" x14ac:dyDescent="0.25">
      <c r="A8" s="4" t="s">
        <v>452</v>
      </c>
      <c r="B8" s="4" t="s">
        <v>217</v>
      </c>
      <c r="C8" s="143">
        <v>307</v>
      </c>
      <c r="D8" s="143">
        <v>990.94</v>
      </c>
      <c r="E8" s="86">
        <v>205</v>
      </c>
      <c r="F8" s="75">
        <v>0</v>
      </c>
      <c r="G8" s="86">
        <v>350</v>
      </c>
      <c r="H8" s="75">
        <v>0</v>
      </c>
      <c r="I8" s="86">
        <v>350</v>
      </c>
      <c r="J8" s="75"/>
      <c r="K8" s="86">
        <v>515</v>
      </c>
      <c r="L8" s="75"/>
      <c r="M8" s="239">
        <v>515</v>
      </c>
      <c r="N8" s="239">
        <f>515*1.02</f>
        <v>525.29999999999995</v>
      </c>
    </row>
    <row r="9" spans="1:17" x14ac:dyDescent="0.25">
      <c r="A9" s="4" t="s">
        <v>452</v>
      </c>
      <c r="B9" s="4" t="s">
        <v>456</v>
      </c>
      <c r="C9" s="142">
        <v>8691</v>
      </c>
      <c r="D9" s="142">
        <v>7747.75</v>
      </c>
      <c r="E9" s="86">
        <v>9795</v>
      </c>
      <c r="F9" s="75">
        <v>5496.11</v>
      </c>
      <c r="G9" s="86">
        <v>11000</v>
      </c>
      <c r="H9" s="75">
        <v>11534.74</v>
      </c>
      <c r="I9" s="86">
        <v>8000</v>
      </c>
      <c r="J9" s="75"/>
      <c r="K9" s="86">
        <v>8240</v>
      </c>
      <c r="L9" s="75"/>
      <c r="M9" s="239">
        <v>8240</v>
      </c>
      <c r="N9" s="239">
        <f>8240*1.02</f>
        <v>8404.7999999999993</v>
      </c>
    </row>
    <row r="10" spans="1:17" s="12" customFormat="1" x14ac:dyDescent="0.25">
      <c r="A10" s="11" t="s">
        <v>75</v>
      </c>
      <c r="B10" s="11"/>
      <c r="C10" s="144"/>
      <c r="D10" s="144"/>
      <c r="E10" s="91">
        <f t="shared" ref="E10:M10" si="0">SUM(E6:E9)</f>
        <v>18993</v>
      </c>
      <c r="F10" s="92">
        <f t="shared" si="0"/>
        <v>12823.689999999999</v>
      </c>
      <c r="G10" s="91">
        <f t="shared" si="0"/>
        <v>22973</v>
      </c>
      <c r="H10" s="92">
        <f t="shared" si="0"/>
        <v>21492.309999999998</v>
      </c>
      <c r="I10" s="91">
        <f t="shared" si="0"/>
        <v>22721</v>
      </c>
      <c r="J10" s="92">
        <f t="shared" si="0"/>
        <v>0</v>
      </c>
      <c r="K10" s="91">
        <f t="shared" si="0"/>
        <v>26140.325000000001</v>
      </c>
      <c r="L10" s="92">
        <f t="shared" si="0"/>
        <v>0</v>
      </c>
      <c r="M10" s="166">
        <f t="shared" si="0"/>
        <v>26140</v>
      </c>
      <c r="N10" s="166">
        <f t="shared" ref="N10" si="1">SUM(N6:N9)</f>
        <v>26662.799999999999</v>
      </c>
      <c r="O10"/>
      <c r="P10"/>
      <c r="Q10"/>
    </row>
    <row r="11" spans="1:17" x14ac:dyDescent="0.25">
      <c r="A11" s="4" t="s">
        <v>218</v>
      </c>
      <c r="B11" s="4" t="s">
        <v>219</v>
      </c>
      <c r="C11" s="142">
        <v>1700</v>
      </c>
      <c r="D11" s="142">
        <v>1387.08</v>
      </c>
      <c r="E11" s="86">
        <v>2700</v>
      </c>
      <c r="F11" s="75">
        <v>0</v>
      </c>
      <c r="G11" s="86">
        <v>600</v>
      </c>
      <c r="H11" s="75">
        <v>2981.02</v>
      </c>
      <c r="I11" s="86">
        <v>600</v>
      </c>
      <c r="J11" s="75">
        <v>2981.02</v>
      </c>
      <c r="K11" s="86">
        <v>2981.02</v>
      </c>
      <c r="L11" s="75"/>
      <c r="M11" s="228">
        <v>3000</v>
      </c>
      <c r="N11" s="228">
        <v>3000</v>
      </c>
    </row>
    <row r="12" spans="1:17" x14ac:dyDescent="0.25">
      <c r="A12" s="4" t="s">
        <v>220</v>
      </c>
      <c r="B12" s="4" t="s">
        <v>22</v>
      </c>
      <c r="C12" s="143">
        <v>50</v>
      </c>
      <c r="D12" s="143">
        <v>30.21</v>
      </c>
      <c r="E12" s="86">
        <v>10</v>
      </c>
      <c r="F12" s="75">
        <v>5.74</v>
      </c>
      <c r="G12" s="86">
        <v>20</v>
      </c>
      <c r="H12" s="75">
        <v>26.35</v>
      </c>
      <c r="I12" s="86">
        <v>20</v>
      </c>
      <c r="J12" s="75">
        <v>0</v>
      </c>
      <c r="K12" s="86">
        <v>25</v>
      </c>
      <c r="L12" s="75"/>
      <c r="M12" s="239">
        <v>25</v>
      </c>
      <c r="N12" s="239">
        <v>25</v>
      </c>
    </row>
    <row r="13" spans="1:17" x14ac:dyDescent="0.25">
      <c r="A13" s="4" t="s">
        <v>221</v>
      </c>
      <c r="B13" s="4" t="s">
        <v>114</v>
      </c>
      <c r="C13" s="142">
        <v>1000</v>
      </c>
      <c r="D13" s="142">
        <v>772</v>
      </c>
      <c r="E13" s="86">
        <v>1500</v>
      </c>
      <c r="F13" s="75">
        <v>515</v>
      </c>
      <c r="G13" s="86">
        <v>1500</v>
      </c>
      <c r="H13" s="75">
        <v>560</v>
      </c>
      <c r="I13" s="86">
        <v>1500</v>
      </c>
      <c r="J13" s="75">
        <v>125</v>
      </c>
      <c r="K13" s="86">
        <v>2000</v>
      </c>
      <c r="L13" s="75"/>
      <c r="M13" s="239">
        <v>2000</v>
      </c>
      <c r="N13" s="239">
        <v>2000</v>
      </c>
    </row>
    <row r="14" spans="1:17" x14ac:dyDescent="0.25">
      <c r="A14" s="4" t="s">
        <v>222</v>
      </c>
      <c r="B14" s="4" t="s">
        <v>474</v>
      </c>
      <c r="C14" s="142">
        <v>3700</v>
      </c>
      <c r="D14" s="142">
        <v>3145</v>
      </c>
      <c r="E14" s="86">
        <v>7261</v>
      </c>
      <c r="F14" s="75">
        <v>1070.5</v>
      </c>
      <c r="G14" s="86">
        <v>7500</v>
      </c>
      <c r="H14" s="75">
        <v>0</v>
      </c>
      <c r="I14" s="86">
        <v>7500</v>
      </c>
      <c r="J14" s="75">
        <v>450</v>
      </c>
      <c r="K14" s="86">
        <v>3500</v>
      </c>
      <c r="L14" s="75"/>
      <c r="M14" s="239">
        <v>3500</v>
      </c>
      <c r="N14" s="239">
        <v>3500</v>
      </c>
    </row>
    <row r="15" spans="1:17" x14ac:dyDescent="0.25">
      <c r="A15" s="4" t="s">
        <v>223</v>
      </c>
      <c r="B15" s="4" t="s">
        <v>224</v>
      </c>
      <c r="C15" s="142">
        <v>200</v>
      </c>
      <c r="D15" s="142">
        <v>431.09</v>
      </c>
      <c r="E15" s="86">
        <v>200</v>
      </c>
      <c r="F15" s="75">
        <v>0</v>
      </c>
      <c r="G15" s="86">
        <v>0</v>
      </c>
      <c r="H15" s="75">
        <v>0</v>
      </c>
      <c r="I15" s="86">
        <v>0</v>
      </c>
      <c r="J15" s="75"/>
      <c r="K15" s="86" t="s">
        <v>88</v>
      </c>
      <c r="L15" s="75"/>
      <c r="M15" s="239" t="s">
        <v>88</v>
      </c>
      <c r="N15" s="239" t="s">
        <v>88</v>
      </c>
    </row>
    <row r="16" spans="1:17" x14ac:dyDescent="0.25">
      <c r="A16" s="4" t="s">
        <v>225</v>
      </c>
      <c r="B16" s="4" t="s">
        <v>226</v>
      </c>
      <c r="C16" s="142">
        <v>10500</v>
      </c>
      <c r="D16" s="142">
        <v>8475</v>
      </c>
      <c r="E16" s="86">
        <v>8000</v>
      </c>
      <c r="F16" s="75">
        <v>3460</v>
      </c>
      <c r="G16" s="86">
        <v>8000</v>
      </c>
      <c r="H16" s="75">
        <v>6640</v>
      </c>
      <c r="I16" s="86">
        <v>8000</v>
      </c>
      <c r="J16" s="75">
        <v>2580</v>
      </c>
      <c r="K16" s="86">
        <v>8000</v>
      </c>
      <c r="L16" s="75"/>
      <c r="M16" s="239">
        <v>8000</v>
      </c>
      <c r="N16" s="239">
        <v>8000</v>
      </c>
    </row>
    <row r="17" spans="1:17" x14ac:dyDescent="0.25">
      <c r="A17" s="4" t="s">
        <v>227</v>
      </c>
      <c r="B17" s="4" t="s">
        <v>52</v>
      </c>
      <c r="C17" s="143">
        <v>500</v>
      </c>
      <c r="D17" s="143">
        <v>203.43</v>
      </c>
      <c r="E17" s="86">
        <v>100</v>
      </c>
      <c r="F17" s="75">
        <v>0</v>
      </c>
      <c r="G17" s="86">
        <v>100</v>
      </c>
      <c r="H17" s="75">
        <v>27.99</v>
      </c>
      <c r="I17" s="86">
        <v>100</v>
      </c>
      <c r="J17" s="75">
        <v>0</v>
      </c>
      <c r="K17" s="86">
        <v>100</v>
      </c>
      <c r="L17" s="75"/>
      <c r="M17" s="228">
        <v>50</v>
      </c>
      <c r="N17" s="228">
        <v>50</v>
      </c>
    </row>
    <row r="18" spans="1:17" x14ac:dyDescent="0.25">
      <c r="A18" s="4" t="s">
        <v>228</v>
      </c>
      <c r="B18" s="4" t="s">
        <v>229</v>
      </c>
      <c r="C18" s="142">
        <v>1600</v>
      </c>
      <c r="D18" s="142">
        <v>1685.22</v>
      </c>
      <c r="E18" s="86">
        <v>2700</v>
      </c>
      <c r="F18" s="75">
        <v>3919.99</v>
      </c>
      <c r="G18" s="86">
        <v>2700</v>
      </c>
      <c r="H18" s="75">
        <v>1222.55</v>
      </c>
      <c r="I18" s="86">
        <v>2700</v>
      </c>
      <c r="J18" s="75">
        <v>2511.42</v>
      </c>
      <c r="K18" s="86">
        <v>2700</v>
      </c>
      <c r="L18" s="75"/>
      <c r="M18" s="239">
        <v>2700</v>
      </c>
      <c r="N18" s="239">
        <v>2700</v>
      </c>
    </row>
    <row r="19" spans="1:17" x14ac:dyDescent="0.25">
      <c r="A19" s="4" t="s">
        <v>230</v>
      </c>
      <c r="B19" s="4" t="s">
        <v>231</v>
      </c>
      <c r="C19" s="142">
        <v>1500</v>
      </c>
      <c r="D19" s="142">
        <v>187.3</v>
      </c>
      <c r="E19" s="86">
        <v>500</v>
      </c>
      <c r="F19" s="75">
        <v>985.13</v>
      </c>
      <c r="G19" s="86">
        <v>1000</v>
      </c>
      <c r="H19" s="75">
        <v>1480.48</v>
      </c>
      <c r="I19" s="86">
        <v>1000</v>
      </c>
      <c r="J19" s="75">
        <v>2157.73</v>
      </c>
      <c r="K19" s="86">
        <v>1000</v>
      </c>
      <c r="L19" s="75"/>
      <c r="M19" s="228">
        <v>2000</v>
      </c>
      <c r="N19" s="228">
        <v>2000</v>
      </c>
    </row>
    <row r="20" spans="1:17" x14ac:dyDescent="0.25">
      <c r="A20" s="4" t="s">
        <v>232</v>
      </c>
      <c r="B20" s="4" t="s">
        <v>191</v>
      </c>
      <c r="C20" s="142">
        <v>2500</v>
      </c>
      <c r="D20" s="142">
        <v>2075</v>
      </c>
      <c r="E20" s="86">
        <v>2500</v>
      </c>
      <c r="F20" s="75">
        <v>2604</v>
      </c>
      <c r="G20" s="86">
        <v>2500</v>
      </c>
      <c r="H20" s="75">
        <v>2563</v>
      </c>
      <c r="I20" s="86">
        <v>2500</v>
      </c>
      <c r="J20" s="75">
        <v>2665</v>
      </c>
      <c r="K20" s="86">
        <v>2600</v>
      </c>
      <c r="L20" s="75"/>
      <c r="M20" s="228">
        <v>3000</v>
      </c>
      <c r="N20" s="228">
        <v>3000</v>
      </c>
    </row>
    <row r="21" spans="1:17" x14ac:dyDescent="0.25">
      <c r="A21" s="4" t="s">
        <v>233</v>
      </c>
      <c r="B21" s="4" t="s">
        <v>186</v>
      </c>
      <c r="C21" s="143">
        <v>300</v>
      </c>
      <c r="D21" s="143">
        <v>0</v>
      </c>
      <c r="E21" s="86">
        <v>100</v>
      </c>
      <c r="F21" s="75">
        <v>0</v>
      </c>
      <c r="G21" s="86">
        <v>100</v>
      </c>
      <c r="H21" s="75">
        <v>0</v>
      </c>
      <c r="I21" s="86">
        <v>100</v>
      </c>
      <c r="J21" s="75">
        <v>0</v>
      </c>
      <c r="K21" s="86">
        <v>100</v>
      </c>
      <c r="L21" s="75"/>
      <c r="M21" s="228">
        <v>200</v>
      </c>
      <c r="N21" s="228">
        <v>200</v>
      </c>
    </row>
    <row r="22" spans="1:17" x14ac:dyDescent="0.25">
      <c r="A22" s="4" t="s">
        <v>234</v>
      </c>
      <c r="B22" s="4" t="s">
        <v>105</v>
      </c>
      <c r="C22" s="142">
        <v>1600</v>
      </c>
      <c r="D22" s="142">
        <v>162.55000000000001</v>
      </c>
      <c r="E22" s="86">
        <v>1500</v>
      </c>
      <c r="F22" s="75">
        <v>2727.9</v>
      </c>
      <c r="G22" s="86">
        <v>1500</v>
      </c>
      <c r="H22" s="75">
        <v>3881.44</v>
      </c>
      <c r="I22" s="86">
        <v>1500</v>
      </c>
      <c r="J22" s="75">
        <v>6119.74</v>
      </c>
      <c r="K22" s="86">
        <v>2000</v>
      </c>
      <c r="L22" s="75"/>
      <c r="M22" s="228">
        <v>3000</v>
      </c>
      <c r="N22" s="228">
        <v>3000</v>
      </c>
    </row>
    <row r="23" spans="1:17" x14ac:dyDescent="0.25">
      <c r="A23" s="4" t="s">
        <v>235</v>
      </c>
      <c r="B23" s="4" t="s">
        <v>236</v>
      </c>
      <c r="C23" s="142">
        <v>2656</v>
      </c>
      <c r="D23" s="142">
        <v>1938.82</v>
      </c>
      <c r="E23" s="86">
        <v>1600</v>
      </c>
      <c r="F23" s="75">
        <v>1324.73</v>
      </c>
      <c r="G23" s="86">
        <v>1600</v>
      </c>
      <c r="H23" s="75">
        <v>2124.42</v>
      </c>
      <c r="I23" s="86">
        <v>1600</v>
      </c>
      <c r="J23" s="75">
        <v>1720.42</v>
      </c>
      <c r="K23" s="86">
        <v>2000</v>
      </c>
      <c r="L23" s="75"/>
      <c r="M23" s="239">
        <v>2000</v>
      </c>
      <c r="N23" s="239">
        <v>2000</v>
      </c>
    </row>
    <row r="24" spans="1:17" s="12" customFormat="1" x14ac:dyDescent="0.25">
      <c r="A24" s="11" t="s">
        <v>82</v>
      </c>
      <c r="B24" s="11"/>
      <c r="C24" s="144"/>
      <c r="D24" s="144"/>
      <c r="E24" s="91">
        <f t="shared" ref="E24:M24" si="2">SUM(E11:E23)</f>
        <v>28671</v>
      </c>
      <c r="F24" s="92">
        <f t="shared" si="2"/>
        <v>16612.989999999998</v>
      </c>
      <c r="G24" s="91">
        <f t="shared" si="2"/>
        <v>27120</v>
      </c>
      <c r="H24" s="92">
        <f t="shared" si="2"/>
        <v>21507.25</v>
      </c>
      <c r="I24" s="91">
        <f t="shared" si="2"/>
        <v>27120</v>
      </c>
      <c r="J24" s="92">
        <f t="shared" si="2"/>
        <v>21310.33</v>
      </c>
      <c r="K24" s="91">
        <f t="shared" si="2"/>
        <v>27006.02</v>
      </c>
      <c r="L24" s="92">
        <f t="shared" si="2"/>
        <v>0</v>
      </c>
      <c r="M24" s="166">
        <f t="shared" si="2"/>
        <v>29475</v>
      </c>
      <c r="N24" s="166">
        <f t="shared" ref="N24" si="3">SUM(N11:N23)</f>
        <v>29475</v>
      </c>
      <c r="O24"/>
      <c r="P24"/>
      <c r="Q24"/>
    </row>
    <row r="25" spans="1:17" s="12" customFormat="1" x14ac:dyDescent="0.25">
      <c r="A25" s="5" t="s">
        <v>9</v>
      </c>
      <c r="B25" s="11"/>
      <c r="C25" s="145">
        <f>SUM(C6:C23)</f>
        <v>43450</v>
      </c>
      <c r="D25" s="145">
        <f>SUM(D6:D23)</f>
        <v>35288.68</v>
      </c>
      <c r="E25" s="91">
        <f t="shared" ref="E25:M25" si="4">E10+E24</f>
        <v>47664</v>
      </c>
      <c r="F25" s="92">
        <f t="shared" si="4"/>
        <v>29436.679999999997</v>
      </c>
      <c r="G25" s="91">
        <f t="shared" si="4"/>
        <v>50093</v>
      </c>
      <c r="H25" s="92">
        <f t="shared" si="4"/>
        <v>42999.56</v>
      </c>
      <c r="I25" s="91">
        <f t="shared" si="4"/>
        <v>49841</v>
      </c>
      <c r="J25" s="92">
        <f t="shared" si="4"/>
        <v>21310.33</v>
      </c>
      <c r="K25" s="91">
        <f t="shared" si="4"/>
        <v>53146.345000000001</v>
      </c>
      <c r="L25" s="92">
        <f t="shared" si="4"/>
        <v>0</v>
      </c>
      <c r="M25" s="166">
        <f t="shared" si="4"/>
        <v>55615</v>
      </c>
      <c r="N25" s="166">
        <f t="shared" ref="N25" si="5">N10+N24</f>
        <v>56137.8</v>
      </c>
      <c r="O25"/>
      <c r="P25"/>
      <c r="Q25"/>
    </row>
    <row r="26" spans="1:17" x14ac:dyDescent="0.25">
      <c r="B26" s="27" t="s">
        <v>237</v>
      </c>
      <c r="I26" s="33" t="s">
        <v>475</v>
      </c>
      <c r="K26" s="154">
        <f>N25-25000</f>
        <v>31137.800000000003</v>
      </c>
    </row>
    <row r="27" spans="1:17" x14ac:dyDescent="0.25">
      <c r="B27" s="27"/>
      <c r="H27" s="177"/>
      <c r="I27" s="205"/>
      <c r="J27" s="30"/>
    </row>
    <row r="28" spans="1:17" x14ac:dyDescent="0.25">
      <c r="A28" s="71"/>
      <c r="I28" s="205"/>
    </row>
    <row r="29" spans="1:17" x14ac:dyDescent="0.25">
      <c r="A29" s="59" t="s">
        <v>577</v>
      </c>
      <c r="B29" s="56">
        <v>3200.9</v>
      </c>
    </row>
    <row r="30" spans="1:17" x14ac:dyDescent="0.25">
      <c r="A30" s="59" t="s">
        <v>586</v>
      </c>
      <c r="B30" s="56">
        <v>0</v>
      </c>
    </row>
  </sheetData>
  <mergeCells count="7">
    <mergeCell ref="K4:L4"/>
    <mergeCell ref="A1:I1"/>
    <mergeCell ref="A2:I2"/>
    <mergeCell ref="C4:D4"/>
    <mergeCell ref="E4:F4"/>
    <mergeCell ref="G4:H4"/>
    <mergeCell ref="I4:J4"/>
  </mergeCells>
  <pageMargins left="0.7" right="0.7" top="0.75" bottom="0.75" header="0.3" footer="0.3"/>
  <pageSetup scale="81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12054-6842-4517-8850-ACCE1EF88A1F}">
  <sheetPr>
    <tabColor theme="9" tint="0.39997558519241921"/>
    <pageSetUpPr fitToPage="1"/>
  </sheetPr>
  <dimension ref="A1:I13"/>
  <sheetViews>
    <sheetView zoomScaleNormal="100" workbookViewId="0">
      <selection activeCell="L16" sqref="L16"/>
    </sheetView>
  </sheetViews>
  <sheetFormatPr defaultColWidth="9.140625" defaultRowHeight="15" x14ac:dyDescent="0.25"/>
  <cols>
    <col min="1" max="1" width="21.7109375" style="1" customWidth="1"/>
    <col min="2" max="2" width="24.85546875" style="1" customWidth="1"/>
    <col min="3" max="13" width="9.7109375" style="1" customWidth="1"/>
    <col min="14" max="16384" width="9.140625" style="1"/>
  </cols>
  <sheetData>
    <row r="1" spans="1:9" x14ac:dyDescent="0.25">
      <c r="A1" s="438" t="s">
        <v>0</v>
      </c>
      <c r="B1" s="438"/>
      <c r="C1" s="438"/>
      <c r="D1" s="46"/>
    </row>
    <row r="2" spans="1:9" x14ac:dyDescent="0.25">
      <c r="A2" s="438" t="s">
        <v>587</v>
      </c>
      <c r="B2" s="438"/>
      <c r="C2" s="438"/>
      <c r="D2" s="46"/>
    </row>
    <row r="4" spans="1:9" s="12" customFormat="1" ht="14.25" x14ac:dyDescent="0.2">
      <c r="A4" s="5" t="s">
        <v>238</v>
      </c>
      <c r="B4" s="11"/>
      <c r="C4" s="442" t="s">
        <v>29</v>
      </c>
      <c r="D4" s="443"/>
      <c r="E4" s="442" t="s">
        <v>30</v>
      </c>
      <c r="F4" s="443"/>
      <c r="G4" s="442" t="s">
        <v>31</v>
      </c>
      <c r="H4" s="443"/>
      <c r="I4" s="11" t="s">
        <v>571</v>
      </c>
    </row>
    <row r="5" spans="1:9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132" t="s">
        <v>6</v>
      </c>
      <c r="H5" s="72" t="s">
        <v>7</v>
      </c>
      <c r="I5" s="81" t="s">
        <v>606</v>
      </c>
    </row>
    <row r="6" spans="1:9" x14ac:dyDescent="0.25">
      <c r="A6" s="4" t="s">
        <v>517</v>
      </c>
      <c r="B6" s="4" t="s">
        <v>339</v>
      </c>
      <c r="C6" s="86">
        <v>2000</v>
      </c>
      <c r="D6" s="75">
        <v>2000</v>
      </c>
      <c r="E6" s="86">
        <v>2000</v>
      </c>
      <c r="F6" s="75">
        <v>1820.65</v>
      </c>
      <c r="G6" s="86"/>
      <c r="H6" s="75"/>
      <c r="I6" s="86"/>
    </row>
    <row r="7" spans="1:9" s="12" customFormat="1" ht="14.25" x14ac:dyDescent="0.2">
      <c r="A7" s="11" t="s">
        <v>239</v>
      </c>
      <c r="B7" s="11"/>
      <c r="C7" s="88">
        <f t="shared" ref="C7:F7" si="0">C6</f>
        <v>2000</v>
      </c>
      <c r="D7" s="89">
        <f t="shared" si="0"/>
        <v>2000</v>
      </c>
      <c r="E7" s="88">
        <f t="shared" si="0"/>
        <v>2000</v>
      </c>
      <c r="F7" s="89">
        <f t="shared" si="0"/>
        <v>1820.65</v>
      </c>
      <c r="G7" s="88">
        <v>2000</v>
      </c>
      <c r="H7" s="89">
        <v>1000</v>
      </c>
      <c r="I7" s="88">
        <v>2000</v>
      </c>
    </row>
    <row r="8" spans="1:9" x14ac:dyDescent="0.25">
      <c r="A8" s="4" t="s">
        <v>240</v>
      </c>
      <c r="B8" s="4" t="s">
        <v>20</v>
      </c>
      <c r="C8" s="86">
        <v>250</v>
      </c>
      <c r="D8" s="75">
        <v>0</v>
      </c>
      <c r="E8" s="86">
        <v>250</v>
      </c>
      <c r="F8" s="75">
        <v>0</v>
      </c>
      <c r="G8" s="86">
        <v>250</v>
      </c>
      <c r="H8" s="75"/>
      <c r="I8" s="86">
        <v>250</v>
      </c>
    </row>
    <row r="9" spans="1:9" x14ac:dyDescent="0.25">
      <c r="A9" s="4" t="s">
        <v>241</v>
      </c>
      <c r="B9" s="4" t="s">
        <v>242</v>
      </c>
      <c r="C9" s="86"/>
      <c r="D9" s="75">
        <v>1365.78</v>
      </c>
      <c r="E9" s="86"/>
      <c r="F9" s="75">
        <v>1434.07</v>
      </c>
      <c r="G9" s="86">
        <v>1500</v>
      </c>
      <c r="H9" s="75"/>
      <c r="I9" s="86">
        <v>1500</v>
      </c>
    </row>
    <row r="10" spans="1:9" x14ac:dyDescent="0.25">
      <c r="A10" s="4" t="s">
        <v>243</v>
      </c>
      <c r="B10" s="4" t="s">
        <v>244</v>
      </c>
      <c r="C10" s="86">
        <v>0</v>
      </c>
      <c r="D10" s="75">
        <v>59.78</v>
      </c>
      <c r="E10" s="86"/>
      <c r="F10" s="75"/>
      <c r="G10" s="86">
        <v>500</v>
      </c>
      <c r="H10" s="75"/>
      <c r="I10" s="86">
        <v>500</v>
      </c>
    </row>
    <row r="11" spans="1:9" x14ac:dyDescent="0.25">
      <c r="A11" s="4" t="s">
        <v>245</v>
      </c>
      <c r="B11" s="4" t="s">
        <v>244</v>
      </c>
      <c r="C11" s="86">
        <v>1975</v>
      </c>
      <c r="D11" s="75">
        <v>89.8</v>
      </c>
      <c r="E11" s="86">
        <v>1975</v>
      </c>
      <c r="F11" s="75"/>
      <c r="G11" s="86"/>
      <c r="H11" s="75"/>
      <c r="I11" s="86"/>
    </row>
    <row r="12" spans="1:9" s="12" customFormat="1" ht="14.25" x14ac:dyDescent="0.2">
      <c r="A12" s="11" t="s">
        <v>82</v>
      </c>
      <c r="B12" s="11"/>
      <c r="C12" s="88">
        <f t="shared" ref="C12:I12" si="1">SUM(C8:C11)</f>
        <v>2225</v>
      </c>
      <c r="D12" s="89">
        <f t="shared" si="1"/>
        <v>1515.36</v>
      </c>
      <c r="E12" s="88">
        <f t="shared" si="1"/>
        <v>2225</v>
      </c>
      <c r="F12" s="89">
        <f t="shared" si="1"/>
        <v>1434.07</v>
      </c>
      <c r="G12" s="88">
        <f t="shared" si="1"/>
        <v>2250</v>
      </c>
      <c r="H12" s="89">
        <f t="shared" ref="H12" si="2">SUM(H8:H11)</f>
        <v>0</v>
      </c>
      <c r="I12" s="88">
        <f t="shared" si="1"/>
        <v>2250</v>
      </c>
    </row>
    <row r="13" spans="1:9" x14ac:dyDescent="0.25">
      <c r="A13" s="11" t="s">
        <v>9</v>
      </c>
      <c r="B13" s="11"/>
      <c r="C13" s="90">
        <f t="shared" ref="C13:G13" si="3">C7+C12</f>
        <v>4225</v>
      </c>
      <c r="D13" s="74">
        <f t="shared" si="3"/>
        <v>3515.3599999999997</v>
      </c>
      <c r="E13" s="90">
        <f t="shared" si="3"/>
        <v>4225</v>
      </c>
      <c r="F13" s="74">
        <f t="shared" si="3"/>
        <v>3254.7200000000003</v>
      </c>
      <c r="G13" s="90">
        <f t="shared" si="3"/>
        <v>4250</v>
      </c>
      <c r="H13" s="74">
        <f t="shared" ref="H13:I13" si="4">H7+H12</f>
        <v>1000</v>
      </c>
      <c r="I13" s="90">
        <f t="shared" si="4"/>
        <v>4250</v>
      </c>
    </row>
  </sheetData>
  <mergeCells count="5">
    <mergeCell ref="E4:F4"/>
    <mergeCell ref="A1:C1"/>
    <mergeCell ref="A2:C2"/>
    <mergeCell ref="C4:D4"/>
    <mergeCell ref="G4:H4"/>
  </mergeCells>
  <pageMargins left="0.7" right="0.7" top="0.75" bottom="0.75" header="0.3" footer="0.3"/>
  <pageSetup fitToHeight="0" orientation="landscape" r:id="rId1"/>
  <ignoredErrors>
    <ignoredError sqref="G12 H12:I12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1D39-16DA-43EE-AC9D-234074015657}">
  <sheetPr>
    <tabColor theme="9" tint="0.39997558519241921"/>
    <pageSetUpPr fitToPage="1"/>
  </sheetPr>
  <dimension ref="A1:I15"/>
  <sheetViews>
    <sheetView zoomScale="120" zoomScaleNormal="120" workbookViewId="0">
      <selection activeCell="B17" sqref="B17"/>
    </sheetView>
  </sheetViews>
  <sheetFormatPr defaultColWidth="9.140625" defaultRowHeight="15" x14ac:dyDescent="0.25"/>
  <cols>
    <col min="1" max="1" width="28.7109375" style="1" customWidth="1"/>
    <col min="2" max="2" width="24.85546875" style="1" customWidth="1"/>
    <col min="3" max="13" width="9.7109375" style="1" customWidth="1"/>
    <col min="14" max="16384" width="9.140625" style="1"/>
  </cols>
  <sheetData>
    <row r="1" spans="1:9" x14ac:dyDescent="0.25">
      <c r="A1" s="438" t="s">
        <v>0</v>
      </c>
      <c r="B1" s="438"/>
      <c r="C1" s="438"/>
      <c r="D1" s="46"/>
    </row>
    <row r="2" spans="1:9" x14ac:dyDescent="0.25">
      <c r="A2" s="438" t="s">
        <v>587</v>
      </c>
      <c r="B2" s="438"/>
      <c r="C2" s="438"/>
      <c r="D2" s="46"/>
    </row>
    <row r="4" spans="1:9" s="12" customFormat="1" ht="14.25" x14ac:dyDescent="0.2">
      <c r="A4" s="5" t="s">
        <v>338</v>
      </c>
      <c r="B4" s="11"/>
      <c r="C4" s="442" t="s">
        <v>29</v>
      </c>
      <c r="D4" s="443"/>
      <c r="E4" s="442" t="s">
        <v>30</v>
      </c>
      <c r="F4" s="443"/>
      <c r="G4" s="442" t="s">
        <v>31</v>
      </c>
      <c r="H4" s="443"/>
      <c r="I4" s="11" t="s">
        <v>571</v>
      </c>
    </row>
    <row r="5" spans="1:9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132" t="s">
        <v>6</v>
      </c>
      <c r="H5" s="72" t="s">
        <v>7</v>
      </c>
      <c r="I5" s="81" t="s">
        <v>606</v>
      </c>
    </row>
    <row r="6" spans="1:9" x14ac:dyDescent="0.25">
      <c r="A6" s="4" t="s">
        <v>518</v>
      </c>
      <c r="B6" s="4" t="s">
        <v>622</v>
      </c>
      <c r="C6" s="86">
        <v>1600</v>
      </c>
      <c r="D6" s="75">
        <v>1825</v>
      </c>
      <c r="E6" s="86">
        <v>2000</v>
      </c>
      <c r="F6" s="75">
        <v>2100</v>
      </c>
      <c r="G6" s="86">
        <v>2000</v>
      </c>
      <c r="H6" s="75"/>
      <c r="I6" s="86">
        <f>5150*1.03</f>
        <v>5304.5</v>
      </c>
    </row>
    <row r="7" spans="1:9" x14ac:dyDescent="0.25">
      <c r="A7" s="4" t="s">
        <v>340</v>
      </c>
      <c r="B7" s="4"/>
      <c r="C7" s="86"/>
      <c r="D7" s="75"/>
      <c r="E7" s="86"/>
      <c r="F7" s="75"/>
      <c r="G7" s="86"/>
      <c r="H7" s="75"/>
      <c r="I7" s="86"/>
    </row>
    <row r="8" spans="1:9" x14ac:dyDescent="0.25">
      <c r="A8" s="4" t="s">
        <v>341</v>
      </c>
      <c r="B8" s="4" t="s">
        <v>20</v>
      </c>
      <c r="C8" s="86">
        <v>800</v>
      </c>
      <c r="D8" s="75">
        <v>0</v>
      </c>
      <c r="E8" s="86">
        <v>500</v>
      </c>
      <c r="F8" s="75">
        <v>0</v>
      </c>
      <c r="G8" s="86">
        <v>500</v>
      </c>
      <c r="H8" s="75"/>
      <c r="I8" s="86"/>
    </row>
    <row r="9" spans="1:9" x14ac:dyDescent="0.25">
      <c r="A9" s="4" t="s">
        <v>342</v>
      </c>
      <c r="B9" s="4" t="s">
        <v>188</v>
      </c>
      <c r="C9" s="86">
        <v>160</v>
      </c>
      <c r="D9" s="75">
        <v>0</v>
      </c>
      <c r="E9" s="86">
        <v>160</v>
      </c>
      <c r="F9" s="75">
        <v>0</v>
      </c>
      <c r="G9" s="86">
        <v>160</v>
      </c>
      <c r="H9" s="75"/>
      <c r="I9" s="86"/>
    </row>
    <row r="10" spans="1:9" x14ac:dyDescent="0.25">
      <c r="A10" s="4" t="s">
        <v>343</v>
      </c>
      <c r="B10" s="4" t="s">
        <v>229</v>
      </c>
      <c r="C10" s="86">
        <v>100</v>
      </c>
      <c r="D10" s="75">
        <v>0</v>
      </c>
      <c r="E10" s="86">
        <v>100</v>
      </c>
      <c r="F10" s="75">
        <v>0</v>
      </c>
      <c r="G10" s="86">
        <v>100</v>
      </c>
      <c r="H10" s="75"/>
      <c r="I10" s="86"/>
    </row>
    <row r="11" spans="1:9" x14ac:dyDescent="0.25">
      <c r="A11" s="4" t="s">
        <v>344</v>
      </c>
      <c r="B11" s="4" t="s">
        <v>152</v>
      </c>
      <c r="C11" s="86">
        <v>350</v>
      </c>
      <c r="D11" s="75">
        <v>0</v>
      </c>
      <c r="E11" s="86">
        <v>350</v>
      </c>
      <c r="F11" s="75">
        <v>350</v>
      </c>
      <c r="G11" s="86">
        <v>350</v>
      </c>
      <c r="H11" s="75"/>
      <c r="I11" s="86"/>
    </row>
    <row r="12" spans="1:9" s="12" customFormat="1" ht="14.25" x14ac:dyDescent="0.2">
      <c r="A12" s="11" t="s">
        <v>82</v>
      </c>
      <c r="B12" s="11"/>
      <c r="C12" s="88">
        <f t="shared" ref="C12:G12" si="0">SUM(C7:C11)</f>
        <v>1410</v>
      </c>
      <c r="D12" s="89">
        <f t="shared" si="0"/>
        <v>0</v>
      </c>
      <c r="E12" s="88">
        <f t="shared" si="0"/>
        <v>1110</v>
      </c>
      <c r="F12" s="89">
        <f t="shared" si="0"/>
        <v>350</v>
      </c>
      <c r="G12" s="88">
        <f t="shared" si="0"/>
        <v>1110</v>
      </c>
      <c r="H12" s="89">
        <f t="shared" ref="H12" si="1">SUM(H7:H11)</f>
        <v>0</v>
      </c>
      <c r="I12" s="88">
        <f t="shared" ref="I12" si="2">SUM(I7:I11)</f>
        <v>0</v>
      </c>
    </row>
    <row r="13" spans="1:9" x14ac:dyDescent="0.25">
      <c r="A13" s="11" t="s">
        <v>9</v>
      </c>
      <c r="B13" s="11"/>
      <c r="C13" s="90">
        <f t="shared" ref="C13:G13" si="3">C6+C12</f>
        <v>3010</v>
      </c>
      <c r="D13" s="74">
        <f t="shared" si="3"/>
        <v>1825</v>
      </c>
      <c r="E13" s="90">
        <f t="shared" si="3"/>
        <v>3110</v>
      </c>
      <c r="F13" s="74">
        <f t="shared" si="3"/>
        <v>2450</v>
      </c>
      <c r="G13" s="90">
        <f t="shared" si="3"/>
        <v>3110</v>
      </c>
      <c r="H13" s="74">
        <f t="shared" ref="H13" si="4">H6+H12</f>
        <v>0</v>
      </c>
      <c r="I13" s="90">
        <f t="shared" ref="I13" si="5">I6+I12</f>
        <v>5304.5</v>
      </c>
    </row>
    <row r="15" spans="1:9" x14ac:dyDescent="0.25">
      <c r="A15" s="59" t="s">
        <v>621</v>
      </c>
    </row>
  </sheetData>
  <mergeCells count="5">
    <mergeCell ref="E4:F4"/>
    <mergeCell ref="A1:C1"/>
    <mergeCell ref="A2:C2"/>
    <mergeCell ref="C4:D4"/>
    <mergeCell ref="G4:H4"/>
  </mergeCells>
  <pageMargins left="0.7" right="0.7" top="0.75" bottom="0.75" header="0.3" footer="0.3"/>
  <pageSetup fitToHeight="0" orientation="landscape" r:id="rId1"/>
  <ignoredErrors>
    <ignoredError sqref="C12:G12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0102-4034-4347-9E6F-EC1E1B6A646B}">
  <sheetPr>
    <tabColor theme="9" tint="0.39997558519241921"/>
    <pageSetUpPr fitToPage="1"/>
  </sheetPr>
  <dimension ref="A1:I13"/>
  <sheetViews>
    <sheetView zoomScale="120" zoomScaleNormal="120" workbookViewId="0">
      <selection activeCell="G16" sqref="G16"/>
    </sheetView>
  </sheetViews>
  <sheetFormatPr defaultColWidth="9.140625" defaultRowHeight="15" x14ac:dyDescent="0.25"/>
  <cols>
    <col min="1" max="1" width="22.7109375" style="1" customWidth="1"/>
    <col min="2" max="2" width="19.28515625" style="1" customWidth="1"/>
    <col min="3" max="7" width="10.28515625" style="1" customWidth="1"/>
    <col min="8" max="16384" width="9.140625" style="1"/>
  </cols>
  <sheetData>
    <row r="1" spans="1:9" x14ac:dyDescent="0.25">
      <c r="A1" s="438" t="s">
        <v>0</v>
      </c>
      <c r="B1" s="438"/>
      <c r="C1" s="438"/>
      <c r="D1" s="438"/>
      <c r="E1" s="438"/>
      <c r="F1" s="46"/>
    </row>
    <row r="2" spans="1:9" x14ac:dyDescent="0.25">
      <c r="A2" s="438" t="s">
        <v>568</v>
      </c>
      <c r="B2" s="438"/>
      <c r="C2" s="438"/>
      <c r="D2" s="438"/>
      <c r="E2" s="438"/>
      <c r="F2" s="46"/>
    </row>
    <row r="4" spans="1:9" s="12" customFormat="1" ht="14.25" x14ac:dyDescent="0.2">
      <c r="A4" s="5" t="s">
        <v>346</v>
      </c>
      <c r="B4" s="11"/>
      <c r="C4" s="437" t="s">
        <v>3</v>
      </c>
      <c r="D4" s="437"/>
      <c r="E4" s="456" t="s">
        <v>4</v>
      </c>
      <c r="F4" s="456"/>
      <c r="G4" s="442" t="s">
        <v>64</v>
      </c>
      <c r="H4" s="443"/>
      <c r="I4" s="10" t="s">
        <v>569</v>
      </c>
    </row>
    <row r="5" spans="1:9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606</v>
      </c>
    </row>
    <row r="6" spans="1:9" x14ac:dyDescent="0.25">
      <c r="A6" s="4" t="s">
        <v>519</v>
      </c>
      <c r="B6" s="4" t="s">
        <v>339</v>
      </c>
      <c r="C6" s="82">
        <v>300</v>
      </c>
      <c r="D6" s="83">
        <v>300</v>
      </c>
      <c r="E6" s="86">
        <v>300</v>
      </c>
      <c r="F6" s="75">
        <v>300</v>
      </c>
      <c r="G6" s="86">
        <v>300</v>
      </c>
      <c r="H6" s="75"/>
      <c r="I6" s="86">
        <v>300</v>
      </c>
    </row>
    <row r="7" spans="1:9" x14ac:dyDescent="0.25">
      <c r="A7" s="4" t="s">
        <v>347</v>
      </c>
      <c r="B7" s="4" t="s">
        <v>340</v>
      </c>
      <c r="C7" s="82"/>
      <c r="D7" s="83"/>
      <c r="E7" s="90"/>
      <c r="F7" s="75"/>
      <c r="G7" s="86"/>
      <c r="H7" s="75"/>
      <c r="I7" s="86"/>
    </row>
    <row r="8" spans="1:9" x14ac:dyDescent="0.25">
      <c r="A8" s="4" t="s">
        <v>348</v>
      </c>
      <c r="B8" s="4" t="s">
        <v>20</v>
      </c>
      <c r="C8" s="82"/>
      <c r="D8" s="83"/>
      <c r="E8" s="90"/>
      <c r="F8" s="75"/>
      <c r="G8" s="86"/>
      <c r="H8" s="75"/>
      <c r="I8" s="86"/>
    </row>
    <row r="9" spans="1:9" x14ac:dyDescent="0.25">
      <c r="A9" s="4" t="s">
        <v>349</v>
      </c>
      <c r="B9" s="4" t="s">
        <v>76</v>
      </c>
      <c r="C9" s="82"/>
      <c r="D9" s="83"/>
      <c r="E9" s="90"/>
      <c r="F9" s="75"/>
      <c r="G9" s="86"/>
      <c r="H9" s="75"/>
      <c r="I9" s="86"/>
    </row>
    <row r="10" spans="1:9" x14ac:dyDescent="0.25">
      <c r="A10" s="4" t="s">
        <v>623</v>
      </c>
      <c r="B10" s="4" t="s">
        <v>664</v>
      </c>
      <c r="C10" s="82"/>
      <c r="D10" s="83"/>
      <c r="E10" s="90"/>
      <c r="F10" s="75"/>
      <c r="G10" s="86"/>
      <c r="H10" s="75"/>
      <c r="I10" s="86">
        <v>210</v>
      </c>
    </row>
    <row r="11" spans="1:9" s="12" customFormat="1" ht="14.25" x14ac:dyDescent="0.2">
      <c r="A11" s="11" t="s">
        <v>9</v>
      </c>
      <c r="B11" s="11"/>
      <c r="C11" s="88">
        <f t="shared" ref="C11:H11" si="0">SUM(C6:C9)</f>
        <v>300</v>
      </c>
      <c r="D11" s="89">
        <f t="shared" si="0"/>
        <v>300</v>
      </c>
      <c r="E11" s="88">
        <f t="shared" si="0"/>
        <v>300</v>
      </c>
      <c r="F11" s="89">
        <f t="shared" si="0"/>
        <v>300</v>
      </c>
      <c r="G11" s="88">
        <f t="shared" si="0"/>
        <v>300</v>
      </c>
      <c r="H11" s="89">
        <f t="shared" si="0"/>
        <v>0</v>
      </c>
      <c r="I11" s="88">
        <f>SUM(I6:I10)</f>
        <v>510</v>
      </c>
    </row>
    <row r="13" spans="1:9" x14ac:dyDescent="0.25">
      <c r="A13" s="59" t="s">
        <v>665</v>
      </c>
    </row>
  </sheetData>
  <mergeCells count="5">
    <mergeCell ref="A1:E1"/>
    <mergeCell ref="A2:E2"/>
    <mergeCell ref="C4:D4"/>
    <mergeCell ref="E4:F4"/>
    <mergeCell ref="G4:H4"/>
  </mergeCells>
  <pageMargins left="0.7" right="0.7" top="0.75" bottom="0.75" header="0.3" footer="0.3"/>
  <pageSetup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1B44A-0D6F-4F53-B1FD-776CE8EE1841}">
  <sheetPr>
    <tabColor theme="9" tint="0.39997558519241921"/>
  </sheetPr>
  <dimension ref="A1:G8"/>
  <sheetViews>
    <sheetView zoomScale="130" zoomScaleNormal="130" workbookViewId="0">
      <selection activeCell="G9" sqref="G9"/>
    </sheetView>
  </sheetViews>
  <sheetFormatPr defaultColWidth="9.140625" defaultRowHeight="15" x14ac:dyDescent="0.25"/>
  <cols>
    <col min="1" max="1" width="9.140625" style="1"/>
    <col min="2" max="2" width="14.140625" style="1" customWidth="1"/>
    <col min="3" max="8" width="13" style="1" customWidth="1"/>
    <col min="9" max="16384" width="9.140625" style="1"/>
  </cols>
  <sheetData>
    <row r="1" spans="1:7" x14ac:dyDescent="0.25">
      <c r="B1" s="1">
        <v>300</v>
      </c>
      <c r="C1" s="1" t="s">
        <v>457</v>
      </c>
    </row>
    <row r="3" spans="1:7" s="46" customFormat="1" ht="14.25" x14ac:dyDescent="0.2">
      <c r="A3" s="10"/>
      <c r="B3" s="10"/>
      <c r="C3" s="10">
        <v>2021</v>
      </c>
      <c r="D3" s="10">
        <v>2022</v>
      </c>
      <c r="E3" s="10">
        <v>2023</v>
      </c>
      <c r="F3" s="10">
        <v>2024</v>
      </c>
    </row>
    <row r="4" spans="1:7" x14ac:dyDescent="0.25">
      <c r="A4" s="4" t="s">
        <v>441</v>
      </c>
      <c r="B4" s="4" t="s">
        <v>305</v>
      </c>
      <c r="C4" s="48">
        <v>1868752</v>
      </c>
      <c r="D4" s="48">
        <v>1945554</v>
      </c>
      <c r="E4" s="48">
        <f>2086307-E5</f>
        <v>2016647</v>
      </c>
      <c r="F4" s="48">
        <f>2135585-F5</f>
        <v>2060585</v>
      </c>
    </row>
    <row r="5" spans="1:7" x14ac:dyDescent="0.25">
      <c r="A5" s="4" t="s">
        <v>443</v>
      </c>
      <c r="B5" s="4" t="s">
        <v>458</v>
      </c>
      <c r="C5" s="48">
        <v>83520</v>
      </c>
      <c r="D5" s="48">
        <v>80689</v>
      </c>
      <c r="E5" s="48">
        <v>69660</v>
      </c>
      <c r="F5" s="48">
        <v>75000</v>
      </c>
    </row>
    <row r="6" spans="1:7" s="12" customFormat="1" ht="14.25" x14ac:dyDescent="0.2">
      <c r="A6" s="11" t="s">
        <v>9</v>
      </c>
      <c r="B6" s="11"/>
      <c r="C6" s="70">
        <f t="shared" ref="C6:F6" si="0">SUM(C4:C5)</f>
        <v>1952272</v>
      </c>
      <c r="D6" s="70">
        <f t="shared" si="0"/>
        <v>2026243</v>
      </c>
      <c r="E6" s="70">
        <f t="shared" si="0"/>
        <v>2086307</v>
      </c>
      <c r="F6" s="70">
        <f t="shared" si="0"/>
        <v>2135585</v>
      </c>
    </row>
    <row r="7" spans="1:7" x14ac:dyDescent="0.25">
      <c r="A7" s="59"/>
      <c r="B7" s="1" t="s">
        <v>772</v>
      </c>
      <c r="F7" s="386">
        <v>16464</v>
      </c>
      <c r="G7" s="1" t="s">
        <v>774</v>
      </c>
    </row>
    <row r="8" spans="1:7" x14ac:dyDescent="0.25">
      <c r="B8" s="1" t="s">
        <v>773</v>
      </c>
      <c r="F8" s="386">
        <v>3817</v>
      </c>
      <c r="G8" s="1" t="s">
        <v>775</v>
      </c>
    </row>
  </sheetData>
  <pageMargins left="0.7" right="0.7" top="0.75" bottom="0.75" header="0.3" footer="0.3"/>
  <pageSetup orientation="landscape" r:id="rId1"/>
  <ignoredErrors>
    <ignoredError sqref="C6:E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127D8-6A26-46F4-9326-E4299B227B5D}">
  <sheetPr>
    <tabColor theme="9" tint="0.39997558519241921"/>
    <pageSetUpPr fitToPage="1"/>
  </sheetPr>
  <dimension ref="A1:M6"/>
  <sheetViews>
    <sheetView zoomScale="120" zoomScaleNormal="120" workbookViewId="0">
      <selection activeCell="L11" sqref="L11"/>
    </sheetView>
  </sheetViews>
  <sheetFormatPr defaultRowHeight="15" x14ac:dyDescent="0.25"/>
  <cols>
    <col min="1" max="1" width="21.7109375" customWidth="1"/>
    <col min="2" max="2" width="25.140625" customWidth="1"/>
    <col min="3" max="10" width="10.7109375" customWidth="1"/>
    <col min="11" max="11" width="11.28515625" customWidth="1"/>
  </cols>
  <sheetData>
    <row r="1" spans="1:13" x14ac:dyDescent="0.25">
      <c r="A1" s="438" t="s">
        <v>0</v>
      </c>
      <c r="B1" s="438"/>
      <c r="C1" s="438"/>
      <c r="D1" s="438"/>
      <c r="E1" s="438"/>
      <c r="F1" s="438"/>
      <c r="G1" s="438"/>
      <c r="H1" s="438"/>
    </row>
    <row r="2" spans="1:13" x14ac:dyDescent="0.25">
      <c r="A2" s="438" t="s">
        <v>568</v>
      </c>
      <c r="B2" s="438"/>
      <c r="C2" s="438"/>
      <c r="D2" s="438"/>
      <c r="E2" s="438"/>
      <c r="F2" s="438"/>
      <c r="G2" s="438"/>
      <c r="H2" s="438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s="3" customFormat="1" x14ac:dyDescent="0.25">
      <c r="A4" s="445" t="s">
        <v>28</v>
      </c>
      <c r="B4" s="446"/>
      <c r="C4" s="444" t="s">
        <v>12</v>
      </c>
      <c r="D4" s="444"/>
      <c r="E4" s="439" t="s">
        <v>13</v>
      </c>
      <c r="F4" s="440"/>
      <c r="G4" s="439" t="s">
        <v>29</v>
      </c>
      <c r="H4" s="440"/>
      <c r="I4" s="439" t="s">
        <v>30</v>
      </c>
      <c r="J4" s="440"/>
      <c r="K4" s="439" t="s">
        <v>31</v>
      </c>
      <c r="L4" s="443"/>
      <c r="M4" s="206" t="s">
        <v>571</v>
      </c>
    </row>
    <row r="5" spans="1:13" x14ac:dyDescent="0.25">
      <c r="A5" s="4"/>
      <c r="B5" s="4"/>
      <c r="C5" s="116" t="s">
        <v>6</v>
      </c>
      <c r="D5" s="117" t="s">
        <v>7</v>
      </c>
      <c r="E5" s="116" t="s">
        <v>6</v>
      </c>
      <c r="F5" s="117" t="s">
        <v>7</v>
      </c>
      <c r="G5" s="116" t="s">
        <v>6</v>
      </c>
      <c r="H5" s="117" t="s">
        <v>7</v>
      </c>
      <c r="I5" s="116" t="s">
        <v>6</v>
      </c>
      <c r="J5" s="117" t="s">
        <v>7</v>
      </c>
      <c r="K5" s="127" t="s">
        <v>6</v>
      </c>
      <c r="L5" s="117" t="s">
        <v>7</v>
      </c>
      <c r="M5" s="127" t="s">
        <v>606</v>
      </c>
    </row>
    <row r="6" spans="1:13" x14ac:dyDescent="0.25">
      <c r="A6" s="4" t="s">
        <v>32</v>
      </c>
      <c r="B6" s="4" t="s">
        <v>33</v>
      </c>
      <c r="C6" s="106">
        <v>300</v>
      </c>
      <c r="D6" s="118">
        <v>290.20999999999998</v>
      </c>
      <c r="E6" s="97">
        <v>300</v>
      </c>
      <c r="F6" s="118">
        <v>135</v>
      </c>
      <c r="G6" s="97">
        <v>300</v>
      </c>
      <c r="H6" s="118">
        <v>135</v>
      </c>
      <c r="I6" s="97">
        <v>300</v>
      </c>
      <c r="J6" s="118">
        <v>135</v>
      </c>
      <c r="K6" s="208">
        <v>300</v>
      </c>
      <c r="L6" s="118"/>
      <c r="M6" s="208">
        <v>300</v>
      </c>
    </row>
  </sheetData>
  <mergeCells count="8">
    <mergeCell ref="K4:L4"/>
    <mergeCell ref="I4:J4"/>
    <mergeCell ref="A1:H1"/>
    <mergeCell ref="A2:H2"/>
    <mergeCell ref="A4:B4"/>
    <mergeCell ref="C4:D4"/>
    <mergeCell ref="E4:F4"/>
    <mergeCell ref="G4:H4"/>
  </mergeCells>
  <pageMargins left="0.7" right="0.7" top="0.75" bottom="0.75" header="0.3" footer="0.3"/>
  <pageSetup scale="75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CA39-1980-4A31-A5AF-3FB4DAB38E75}">
  <sheetPr>
    <tabColor theme="9" tint="0.39997558519241921"/>
  </sheetPr>
  <dimension ref="A1:G9"/>
  <sheetViews>
    <sheetView workbookViewId="0">
      <selection activeCell="F7" sqref="F7"/>
    </sheetView>
  </sheetViews>
  <sheetFormatPr defaultColWidth="9.140625" defaultRowHeight="15" x14ac:dyDescent="0.25"/>
  <cols>
    <col min="1" max="1" width="9.140625" style="1"/>
    <col min="2" max="2" width="20.42578125" style="1" customWidth="1"/>
    <col min="3" max="8" width="13.5703125" style="1" customWidth="1"/>
    <col min="9" max="16384" width="9.140625" style="1"/>
  </cols>
  <sheetData>
    <row r="1" spans="1:7" x14ac:dyDescent="0.25">
      <c r="B1" s="1">
        <v>310</v>
      </c>
      <c r="C1" s="1" t="s">
        <v>461</v>
      </c>
    </row>
    <row r="3" spans="1:7" x14ac:dyDescent="0.25">
      <c r="A3" s="10"/>
      <c r="B3" s="10"/>
      <c r="C3" s="10">
        <v>2021</v>
      </c>
      <c r="D3" s="256">
        <v>2022</v>
      </c>
      <c r="E3" s="10">
        <v>2023</v>
      </c>
      <c r="F3" s="10">
        <v>2024</v>
      </c>
    </row>
    <row r="4" spans="1:7" x14ac:dyDescent="0.25">
      <c r="A4" s="4" t="s">
        <v>462</v>
      </c>
      <c r="B4" s="4" t="s">
        <v>305</v>
      </c>
      <c r="C4" s="48">
        <v>1473565</v>
      </c>
      <c r="D4" s="307">
        <v>1477649</v>
      </c>
      <c r="E4" s="48">
        <f>975784+556289</f>
        <v>1532073</v>
      </c>
      <c r="F4" s="48">
        <f>1601148-F5</f>
        <v>1568585</v>
      </c>
      <c r="G4" s="56"/>
    </row>
    <row r="5" spans="1:7" x14ac:dyDescent="0.25">
      <c r="A5" s="4" t="s">
        <v>463</v>
      </c>
      <c r="B5" s="4" t="s">
        <v>458</v>
      </c>
      <c r="C5" s="48">
        <v>38734</v>
      </c>
      <c r="D5" s="307">
        <v>41148</v>
      </c>
      <c r="E5" s="48">
        <v>26759</v>
      </c>
      <c r="F5" s="48">
        <v>32563</v>
      </c>
    </row>
    <row r="6" spans="1:7" x14ac:dyDescent="0.25">
      <c r="A6" s="4" t="s">
        <v>483</v>
      </c>
      <c r="B6" s="4" t="s">
        <v>490</v>
      </c>
      <c r="C6" s="48"/>
      <c r="D6" s="307"/>
      <c r="E6" s="309">
        <v>12827</v>
      </c>
      <c r="F6" s="48">
        <f>3817</f>
        <v>3817</v>
      </c>
    </row>
    <row r="7" spans="1:7" x14ac:dyDescent="0.25">
      <c r="A7" s="11" t="s">
        <v>9</v>
      </c>
      <c r="B7" s="11"/>
      <c r="C7" s="70">
        <f t="shared" ref="C7:D7" si="0">SUM(C4:C5)</f>
        <v>1512299</v>
      </c>
      <c r="D7" s="308">
        <f t="shared" si="0"/>
        <v>1518797</v>
      </c>
      <c r="E7" s="70">
        <f>SUM(E4:E6)</f>
        <v>1571659</v>
      </c>
      <c r="F7" s="70">
        <f>SUM(F4:F6)</f>
        <v>1604965</v>
      </c>
      <c r="G7" s="56"/>
    </row>
    <row r="8" spans="1:7" x14ac:dyDescent="0.25">
      <c r="A8" s="160"/>
    </row>
    <row r="9" spans="1:7" x14ac:dyDescent="0.25">
      <c r="A9" s="59" t="s">
        <v>771</v>
      </c>
    </row>
  </sheetData>
  <pageMargins left="0.7" right="0.7" top="0.75" bottom="0.75" header="0.3" footer="0.3"/>
  <pageSetup orientation="landscape" r:id="rId1"/>
  <ignoredErrors>
    <ignoredError sqref="C7:D7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AB96-685E-4449-ABB0-61318729F8C7}">
  <sheetPr>
    <tabColor theme="9" tint="0.39997558519241921"/>
  </sheetPr>
  <dimension ref="A1:H9"/>
  <sheetViews>
    <sheetView workbookViewId="0">
      <selection activeCell="I13" sqref="I12:I13"/>
    </sheetView>
  </sheetViews>
  <sheetFormatPr defaultRowHeight="15" x14ac:dyDescent="0.25"/>
  <cols>
    <col min="2" max="2" width="19.42578125" customWidth="1"/>
    <col min="3" max="8" width="14.42578125" customWidth="1"/>
  </cols>
  <sheetData>
    <row r="1" spans="1:8" x14ac:dyDescent="0.25">
      <c r="A1" s="1"/>
      <c r="B1" s="20">
        <v>320</v>
      </c>
      <c r="C1" s="1" t="s">
        <v>491</v>
      </c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10"/>
      <c r="B3" s="10"/>
      <c r="C3" s="10">
        <v>2021</v>
      </c>
      <c r="D3" s="10">
        <v>2022</v>
      </c>
      <c r="E3" s="10">
        <v>2023</v>
      </c>
      <c r="F3" s="10">
        <v>2024</v>
      </c>
    </row>
    <row r="4" spans="1:8" x14ac:dyDescent="0.25">
      <c r="A4" s="4" t="s">
        <v>459</v>
      </c>
      <c r="B4" s="4" t="s">
        <v>305</v>
      </c>
      <c r="C4" s="48">
        <v>91432</v>
      </c>
      <c r="D4" s="48">
        <v>68814</v>
      </c>
      <c r="E4" s="48">
        <f>176212-E6</f>
        <v>169670.26</v>
      </c>
      <c r="F4" s="48">
        <f>166074-F6</f>
        <v>159929.73000000001</v>
      </c>
    </row>
    <row r="5" spans="1:8" x14ac:dyDescent="0.25">
      <c r="A5" s="4" t="s">
        <v>460</v>
      </c>
      <c r="B5" s="4" t="s">
        <v>458</v>
      </c>
      <c r="C5" s="48">
        <v>2943</v>
      </c>
      <c r="D5" s="48">
        <v>2969</v>
      </c>
      <c r="E5" s="48">
        <v>7049</v>
      </c>
      <c r="F5" s="48">
        <v>5198</v>
      </c>
    </row>
    <row r="6" spans="1:8" x14ac:dyDescent="0.25">
      <c r="A6" s="4" t="s">
        <v>496</v>
      </c>
      <c r="B6" s="4" t="s">
        <v>490</v>
      </c>
      <c r="C6" s="48">
        <v>6698.45</v>
      </c>
      <c r="D6" s="48">
        <v>6227.55</v>
      </c>
      <c r="E6" s="48">
        <v>6541.74</v>
      </c>
      <c r="F6" s="48">
        <v>6144.27</v>
      </c>
      <c r="G6" s="406"/>
    </row>
    <row r="7" spans="1:8" x14ac:dyDescent="0.25">
      <c r="A7" s="11" t="s">
        <v>9</v>
      </c>
      <c r="B7" s="11"/>
      <c r="C7" s="70">
        <f>SUM(C4:C6)</f>
        <v>101073.45</v>
      </c>
      <c r="D7" s="70">
        <f>SUM(D4:D6)</f>
        <v>78010.55</v>
      </c>
      <c r="E7" s="70">
        <f>SUM(E4:E6)</f>
        <v>183261</v>
      </c>
      <c r="F7" s="70">
        <f>SUM(F4:F6)</f>
        <v>171272</v>
      </c>
    </row>
    <row r="8" spans="1:8" x14ac:dyDescent="0.25">
      <c r="A8" s="160"/>
    </row>
    <row r="9" spans="1:8" x14ac:dyDescent="0.25">
      <c r="H9" s="153"/>
    </row>
  </sheetData>
  <pageMargins left="0.7" right="0.7" top="0.75" bottom="0.75" header="0.3" footer="0.3"/>
  <pageSetup orientation="landscape" r:id="rId1"/>
  <ignoredErrors>
    <ignoredError sqref="C7:D7" formulaRange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274A-B675-4608-91CB-29A31B1AFF3B}">
  <sheetPr>
    <tabColor theme="8" tint="0.39997558519241921"/>
  </sheetPr>
  <dimension ref="A1:H11"/>
  <sheetViews>
    <sheetView workbookViewId="0">
      <selection activeCell="E6" sqref="E6"/>
    </sheetView>
  </sheetViews>
  <sheetFormatPr defaultColWidth="9.140625" defaultRowHeight="15" x14ac:dyDescent="0.25"/>
  <cols>
    <col min="2" max="2" width="14.5703125" customWidth="1"/>
    <col min="3" max="8" width="14.42578125" customWidth="1"/>
    <col min="13" max="13" width="10.5703125" bestFit="1" customWidth="1"/>
  </cols>
  <sheetData>
    <row r="1" spans="1:8" x14ac:dyDescent="0.25">
      <c r="A1" s="1"/>
      <c r="B1" s="20">
        <v>330</v>
      </c>
      <c r="C1" s="1" t="s">
        <v>492</v>
      </c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0"/>
      <c r="B3" s="10"/>
      <c r="C3" s="10">
        <v>2021</v>
      </c>
      <c r="D3" s="10">
        <v>2022</v>
      </c>
      <c r="E3" s="10">
        <v>2023</v>
      </c>
      <c r="F3" s="10" t="s">
        <v>727</v>
      </c>
    </row>
    <row r="4" spans="1:8" x14ac:dyDescent="0.25">
      <c r="A4" s="4" t="s">
        <v>498</v>
      </c>
      <c r="B4" s="4" t="s">
        <v>305</v>
      </c>
      <c r="C4" s="181">
        <v>18500</v>
      </c>
      <c r="D4" s="181">
        <v>39000</v>
      </c>
      <c r="E4" s="48">
        <f>(2*19622)+10100</f>
        <v>49344</v>
      </c>
      <c r="F4" s="48">
        <f>(E4/2)*1.05</f>
        <v>25905.600000000002</v>
      </c>
    </row>
    <row r="5" spans="1:8" x14ac:dyDescent="0.25">
      <c r="A5" s="4" t="s">
        <v>499</v>
      </c>
      <c r="B5" s="4" t="s">
        <v>458</v>
      </c>
      <c r="C5" s="181">
        <v>12700</v>
      </c>
      <c r="D5" s="181">
        <v>23400</v>
      </c>
      <c r="E5" s="48">
        <f>180*150</f>
        <v>27000</v>
      </c>
      <c r="F5" s="48">
        <f>180*150</f>
        <v>27000</v>
      </c>
    </row>
    <row r="6" spans="1:8" x14ac:dyDescent="0.25">
      <c r="A6" s="11" t="s">
        <v>9</v>
      </c>
      <c r="B6" s="11"/>
      <c r="C6" s="70">
        <f t="shared" ref="C6:E6" si="0">SUM(C4:C5)</f>
        <v>31200</v>
      </c>
      <c r="D6" s="70">
        <f t="shared" si="0"/>
        <v>62400</v>
      </c>
      <c r="E6" s="70">
        <f t="shared" si="0"/>
        <v>76344</v>
      </c>
      <c r="F6" s="70">
        <f t="shared" ref="F6" si="1">SUM(F4:F5)</f>
        <v>52905.600000000006</v>
      </c>
    </row>
    <row r="7" spans="1:8" x14ac:dyDescent="0.25">
      <c r="A7" s="1" t="s">
        <v>732</v>
      </c>
    </row>
    <row r="10" spans="1:8" x14ac:dyDescent="0.25">
      <c r="A10" t="s">
        <v>530</v>
      </c>
      <c r="B10" s="45">
        <v>9801.7099999999991</v>
      </c>
    </row>
    <row r="11" spans="1:8" x14ac:dyDescent="0.25">
      <c r="A11" t="s">
        <v>531</v>
      </c>
      <c r="B11" s="45">
        <f>B10*1.03</f>
        <v>10095.7613</v>
      </c>
    </row>
  </sheetData>
  <pageMargins left="0.7" right="0.7" top="0.75" bottom="0.75" header="0.3" footer="0.3"/>
  <pageSetup orientation="landscape" r:id="rId1"/>
  <ignoredErrors>
    <ignoredError sqref="C6:D6" formulaRange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8AB8-C260-4A70-A435-3CABFBDD2F9A}">
  <sheetPr>
    <tabColor theme="9" tint="0.39997558519241921"/>
    <pageSetUpPr fitToPage="1"/>
  </sheetPr>
  <dimension ref="A1:J31"/>
  <sheetViews>
    <sheetView zoomScale="110" zoomScaleNormal="110" workbookViewId="0">
      <selection activeCell="M23" sqref="M23"/>
    </sheetView>
  </sheetViews>
  <sheetFormatPr defaultColWidth="9.140625" defaultRowHeight="15" x14ac:dyDescent="0.25"/>
  <cols>
    <col min="1" max="1" width="26.42578125" style="1" customWidth="1"/>
    <col min="2" max="2" width="22.42578125" style="1" customWidth="1"/>
    <col min="3" max="13" width="12" style="1" customWidth="1"/>
    <col min="14" max="15" width="12.42578125" style="1" customWidth="1"/>
    <col min="16" max="16384" width="9.140625" style="1"/>
  </cols>
  <sheetData>
    <row r="1" spans="1:10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</row>
    <row r="2" spans="1:10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</row>
    <row r="3" spans="1:10" x14ac:dyDescent="0.25">
      <c r="A3" s="20"/>
      <c r="B3" s="20"/>
      <c r="H3" s="30"/>
      <c r="I3" s="30"/>
    </row>
    <row r="4" spans="1:10" s="12" customFormat="1" ht="14.25" x14ac:dyDescent="0.2">
      <c r="A4" s="5" t="s">
        <v>254</v>
      </c>
      <c r="B4" s="11"/>
      <c r="C4" s="454" t="s">
        <v>168</v>
      </c>
      <c r="D4" s="455"/>
      <c r="E4" s="442" t="s">
        <v>4</v>
      </c>
      <c r="F4" s="443"/>
      <c r="G4" s="442" t="s">
        <v>64</v>
      </c>
      <c r="H4" s="443"/>
      <c r="I4" s="10" t="s">
        <v>569</v>
      </c>
    </row>
    <row r="5" spans="1:10" x14ac:dyDescent="0.25">
      <c r="A5" s="10"/>
      <c r="B5" s="11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</row>
    <row r="6" spans="1:10" x14ac:dyDescent="0.25">
      <c r="A6" s="4" t="s">
        <v>255</v>
      </c>
      <c r="B6" s="48" t="s">
        <v>39</v>
      </c>
      <c r="C6" s="82">
        <v>66231</v>
      </c>
      <c r="D6" s="83">
        <v>67835.97</v>
      </c>
      <c r="E6" s="82">
        <v>67887</v>
      </c>
      <c r="F6" s="75">
        <v>69583.95</v>
      </c>
      <c r="G6" s="86">
        <v>71671.468500000003</v>
      </c>
      <c r="H6" s="75">
        <v>33226</v>
      </c>
      <c r="I6" s="86">
        <v>71671</v>
      </c>
    </row>
    <row r="7" spans="1:10" x14ac:dyDescent="0.25">
      <c r="A7" s="4" t="s">
        <v>520</v>
      </c>
      <c r="B7" s="48" t="s">
        <v>257</v>
      </c>
      <c r="C7" s="231">
        <v>189424</v>
      </c>
      <c r="D7" s="151">
        <v>129227.78</v>
      </c>
      <c r="E7" s="231">
        <v>231600</v>
      </c>
      <c r="F7" s="75">
        <v>177626</v>
      </c>
      <c r="G7" s="86">
        <v>235664</v>
      </c>
      <c r="H7" s="75">
        <v>93709.74</v>
      </c>
      <c r="I7" s="86">
        <v>235664</v>
      </c>
    </row>
    <row r="8" spans="1:10" x14ac:dyDescent="0.25">
      <c r="A8" s="4" t="s">
        <v>544</v>
      </c>
      <c r="B8" s="48" t="s">
        <v>545</v>
      </c>
      <c r="C8" s="231">
        <v>1026</v>
      </c>
      <c r="D8" s="151">
        <v>0</v>
      </c>
      <c r="E8" s="231">
        <v>1078</v>
      </c>
      <c r="F8" s="75">
        <v>0</v>
      </c>
      <c r="G8" s="86">
        <v>1110.3399999999999</v>
      </c>
      <c r="H8" s="75">
        <v>0</v>
      </c>
      <c r="I8" s="86">
        <v>1110</v>
      </c>
    </row>
    <row r="9" spans="1:10" x14ac:dyDescent="0.25">
      <c r="A9" s="4" t="s">
        <v>256</v>
      </c>
      <c r="B9" s="48" t="s">
        <v>246</v>
      </c>
      <c r="C9" s="231">
        <v>4100</v>
      </c>
      <c r="D9" s="151">
        <v>5300.9</v>
      </c>
      <c r="E9" s="231">
        <v>4308</v>
      </c>
      <c r="F9" s="75">
        <v>1142.57</v>
      </c>
      <c r="G9" s="86">
        <v>4437.24</v>
      </c>
      <c r="H9" s="75">
        <v>1452.7</v>
      </c>
      <c r="I9" s="86">
        <v>4437</v>
      </c>
    </row>
    <row r="10" spans="1:10" ht="16.5" customHeight="1" x14ac:dyDescent="0.25">
      <c r="A10" s="11" t="s">
        <v>75</v>
      </c>
      <c r="B10" s="146"/>
      <c r="C10" s="90">
        <f>SUM(C6:C9)</f>
        <v>260781</v>
      </c>
      <c r="D10" s="74">
        <f t="shared" ref="D10:F10" si="0">SUM(D6:D9)</f>
        <v>202364.65</v>
      </c>
      <c r="E10" s="90">
        <f t="shared" si="0"/>
        <v>304873</v>
      </c>
      <c r="F10" s="74">
        <f t="shared" si="0"/>
        <v>248352.52000000002</v>
      </c>
      <c r="G10" s="90">
        <v>312883.04850000003</v>
      </c>
      <c r="H10" s="74">
        <f t="shared" ref="H10" si="1">SUM(H6:H9)</f>
        <v>128388.44</v>
      </c>
      <c r="I10" s="90">
        <v>312883.04850000003</v>
      </c>
    </row>
    <row r="11" spans="1:10" x14ac:dyDescent="0.25">
      <c r="A11" s="10"/>
      <c r="B11" s="147"/>
      <c r="C11" s="232"/>
      <c r="D11" s="150"/>
      <c r="E11" s="232"/>
      <c r="F11" s="75"/>
      <c r="G11" s="86"/>
      <c r="H11" s="75"/>
      <c r="I11" s="86"/>
    </row>
    <row r="12" spans="1:10" x14ac:dyDescent="0.25">
      <c r="A12" s="4" t="s">
        <v>546</v>
      </c>
      <c r="B12" s="48" t="s">
        <v>547</v>
      </c>
      <c r="C12" s="82">
        <v>17500</v>
      </c>
      <c r="D12" s="83">
        <v>10935.37</v>
      </c>
      <c r="E12" s="82">
        <v>17500</v>
      </c>
      <c r="F12" s="75">
        <v>26766</v>
      </c>
      <c r="G12" s="86">
        <v>17500</v>
      </c>
      <c r="H12" s="75">
        <v>8199.2000000000007</v>
      </c>
      <c r="I12" s="86">
        <v>39000</v>
      </c>
      <c r="J12" s="1" t="s">
        <v>730</v>
      </c>
    </row>
    <row r="13" spans="1:10" x14ac:dyDescent="0.25">
      <c r="A13" s="4" t="s">
        <v>259</v>
      </c>
      <c r="B13" s="48" t="s">
        <v>78</v>
      </c>
      <c r="C13" s="82">
        <v>25000</v>
      </c>
      <c r="D13" s="83">
        <v>39248.11</v>
      </c>
      <c r="E13" s="82">
        <v>25000</v>
      </c>
      <c r="F13" s="75">
        <v>47411</v>
      </c>
      <c r="G13" s="86">
        <v>25000</v>
      </c>
      <c r="H13" s="75">
        <v>0</v>
      </c>
      <c r="I13" s="86">
        <v>25000</v>
      </c>
      <c r="J13" s="1" t="s">
        <v>731</v>
      </c>
    </row>
    <row r="14" spans="1:10" x14ac:dyDescent="0.25">
      <c r="A14" s="4" t="s">
        <v>260</v>
      </c>
      <c r="B14" s="148" t="s">
        <v>548</v>
      </c>
      <c r="C14" s="231">
        <v>105000</v>
      </c>
      <c r="D14" s="151">
        <v>114734.1</v>
      </c>
      <c r="E14" s="231">
        <v>105000</v>
      </c>
      <c r="F14" s="75">
        <v>118253.27</v>
      </c>
      <c r="G14" s="86">
        <v>105000</v>
      </c>
      <c r="H14" s="75">
        <v>21470.52</v>
      </c>
      <c r="I14" s="86">
        <v>150000</v>
      </c>
      <c r="J14" s="1" t="s">
        <v>728</v>
      </c>
    </row>
    <row r="15" spans="1:10" x14ac:dyDescent="0.25">
      <c r="A15" s="4" t="s">
        <v>261</v>
      </c>
      <c r="B15" s="148" t="s">
        <v>262</v>
      </c>
      <c r="C15" s="231">
        <v>20000</v>
      </c>
      <c r="D15" s="151">
        <v>15059.36</v>
      </c>
      <c r="E15" s="231">
        <v>20000</v>
      </c>
      <c r="F15" s="75">
        <v>22370.06</v>
      </c>
      <c r="G15" s="86">
        <v>22300</v>
      </c>
      <c r="H15" s="75">
        <v>18329.919999999998</v>
      </c>
      <c r="I15" s="86">
        <v>37800</v>
      </c>
      <c r="J15" s="1" t="s">
        <v>729</v>
      </c>
    </row>
    <row r="16" spans="1:10" x14ac:dyDescent="0.25">
      <c r="A16" s="4" t="s">
        <v>263</v>
      </c>
      <c r="B16" s="48" t="s">
        <v>52</v>
      </c>
      <c r="C16" s="82">
        <v>6000</v>
      </c>
      <c r="D16" s="83">
        <v>4885.2700000000004</v>
      </c>
      <c r="E16" s="82">
        <v>6000</v>
      </c>
      <c r="F16" s="75">
        <v>4009</v>
      </c>
      <c r="G16" s="86">
        <v>6000</v>
      </c>
      <c r="H16" s="75">
        <v>3444.2</v>
      </c>
      <c r="I16" s="86">
        <v>6000</v>
      </c>
    </row>
    <row r="17" spans="1:9" x14ac:dyDescent="0.25">
      <c r="A17" s="4" t="s">
        <v>264</v>
      </c>
      <c r="B17" s="48" t="s">
        <v>229</v>
      </c>
      <c r="C17" s="82">
        <v>10000</v>
      </c>
      <c r="D17" s="83">
        <v>14698.35</v>
      </c>
      <c r="E17" s="82">
        <v>10000</v>
      </c>
      <c r="F17" s="75">
        <v>11864.94</v>
      </c>
      <c r="G17" s="86">
        <v>12000</v>
      </c>
      <c r="H17" s="75">
        <v>1900.42</v>
      </c>
      <c r="I17" s="86">
        <v>12000</v>
      </c>
    </row>
    <row r="18" spans="1:9" x14ac:dyDescent="0.25">
      <c r="A18" s="4" t="s">
        <v>265</v>
      </c>
      <c r="B18" s="148" t="s">
        <v>152</v>
      </c>
      <c r="C18" s="231">
        <v>60000</v>
      </c>
      <c r="D18" s="151">
        <v>82562.490000000005</v>
      </c>
      <c r="E18" s="231">
        <v>60000</v>
      </c>
      <c r="F18" s="75">
        <v>62371.59</v>
      </c>
      <c r="G18" s="86">
        <v>60000</v>
      </c>
      <c r="H18" s="75">
        <v>50002.82</v>
      </c>
      <c r="I18" s="86">
        <v>60000</v>
      </c>
    </row>
    <row r="19" spans="1:9" x14ac:dyDescent="0.25">
      <c r="A19" s="4" t="s">
        <v>549</v>
      </c>
      <c r="B19" s="48" t="s">
        <v>186</v>
      </c>
      <c r="C19" s="82">
        <v>2500</v>
      </c>
      <c r="D19" s="83">
        <v>2066.7399999999998</v>
      </c>
      <c r="E19" s="82">
        <v>2500</v>
      </c>
      <c r="F19" s="75">
        <v>1871.73</v>
      </c>
      <c r="G19" s="86">
        <v>3000</v>
      </c>
      <c r="H19" s="75">
        <v>488</v>
      </c>
      <c r="I19" s="86">
        <v>3000</v>
      </c>
    </row>
    <row r="20" spans="1:9" x14ac:dyDescent="0.25">
      <c r="A20" s="4" t="s">
        <v>266</v>
      </c>
      <c r="B20" s="48" t="s">
        <v>105</v>
      </c>
      <c r="C20" s="82">
        <v>10000</v>
      </c>
      <c r="D20" s="83">
        <v>20347</v>
      </c>
      <c r="E20" s="82">
        <v>10000</v>
      </c>
      <c r="F20" s="75">
        <v>4900</v>
      </c>
      <c r="G20" s="86">
        <v>10000</v>
      </c>
      <c r="H20" s="75">
        <v>7340</v>
      </c>
      <c r="I20" s="86">
        <v>10000</v>
      </c>
    </row>
    <row r="21" spans="1:9" x14ac:dyDescent="0.25">
      <c r="A21" s="11" t="s">
        <v>82</v>
      </c>
      <c r="B21" s="149"/>
      <c r="C21" s="233">
        <f t="shared" ref="C21:I21" si="2">SUM(C12:C20)</f>
        <v>256000</v>
      </c>
      <c r="D21" s="93">
        <f t="shared" si="2"/>
        <v>304536.78999999998</v>
      </c>
      <c r="E21" s="233">
        <f t="shared" si="2"/>
        <v>256000</v>
      </c>
      <c r="F21" s="93">
        <f t="shared" si="2"/>
        <v>299817.58999999997</v>
      </c>
      <c r="G21" s="233">
        <f t="shared" si="2"/>
        <v>260800</v>
      </c>
      <c r="H21" s="93">
        <f t="shared" si="2"/>
        <v>111175.07999999999</v>
      </c>
      <c r="I21" s="233">
        <f t="shared" si="2"/>
        <v>342800</v>
      </c>
    </row>
    <row r="22" spans="1:9" x14ac:dyDescent="0.25">
      <c r="A22" s="11" t="s">
        <v>9</v>
      </c>
      <c r="B22" s="149"/>
      <c r="C22" s="90">
        <f>C10+C21</f>
        <v>516781</v>
      </c>
      <c r="D22" s="74">
        <f>D10+D21</f>
        <v>506901.43999999994</v>
      </c>
      <c r="E22" s="90">
        <f>E10+E21</f>
        <v>560873</v>
      </c>
      <c r="F22" s="74">
        <f>F10+F21</f>
        <v>548170.11</v>
      </c>
      <c r="G22" s="90">
        <v>573683.04850000003</v>
      </c>
      <c r="H22" s="74">
        <f>H10+H21</f>
        <v>239563.51999999999</v>
      </c>
      <c r="I22" s="90">
        <v>655683</v>
      </c>
    </row>
    <row r="24" spans="1:9" x14ac:dyDescent="0.25">
      <c r="A24" s="59" t="s">
        <v>267</v>
      </c>
      <c r="H24"/>
    </row>
    <row r="26" spans="1:9" x14ac:dyDescent="0.25">
      <c r="A26" s="59" t="s">
        <v>652</v>
      </c>
      <c r="B26" s="56">
        <v>25000</v>
      </c>
    </row>
    <row r="27" spans="1:9" x14ac:dyDescent="0.25">
      <c r="A27" s="59" t="s">
        <v>588</v>
      </c>
      <c r="B27" s="56">
        <v>8341</v>
      </c>
    </row>
    <row r="28" spans="1:9" x14ac:dyDescent="0.25">
      <c r="A28" s="59" t="s">
        <v>589</v>
      </c>
      <c r="B28" s="56">
        <v>6175</v>
      </c>
    </row>
    <row r="29" spans="1:9" x14ac:dyDescent="0.25">
      <c r="A29" s="59" t="s">
        <v>590</v>
      </c>
      <c r="B29" s="56">
        <v>73705.649999999994</v>
      </c>
    </row>
    <row r="30" spans="1:9" x14ac:dyDescent="0.25">
      <c r="A30" s="59" t="s">
        <v>591</v>
      </c>
      <c r="B30" s="56">
        <v>500664</v>
      </c>
    </row>
    <row r="31" spans="1:9" x14ac:dyDescent="0.25">
      <c r="A31"/>
      <c r="B31"/>
    </row>
  </sheetData>
  <mergeCells count="5">
    <mergeCell ref="E4:F4"/>
    <mergeCell ref="A1:J1"/>
    <mergeCell ref="A2:J2"/>
    <mergeCell ref="C4:D4"/>
    <mergeCell ref="G4:H4"/>
  </mergeCells>
  <pageMargins left="0.7" right="0.7" top="0.75" bottom="0.75" header="0.3" footer="0.3"/>
  <pageSetup scale="8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31E87-490A-4486-8CB3-36B86807B18E}">
  <sheetPr>
    <tabColor theme="9" tint="0.39997558519241921"/>
  </sheetPr>
  <dimension ref="A1:J17"/>
  <sheetViews>
    <sheetView zoomScale="130" zoomScaleNormal="130" workbookViewId="0">
      <selection activeCell="D27" sqref="D27"/>
    </sheetView>
  </sheetViews>
  <sheetFormatPr defaultColWidth="9.140625" defaultRowHeight="15" x14ac:dyDescent="0.25"/>
  <cols>
    <col min="1" max="1" width="23.140625" style="1" customWidth="1"/>
    <col min="2" max="2" width="20.140625" style="1" customWidth="1"/>
    <col min="3" max="12" width="11.7109375" style="1" customWidth="1"/>
    <col min="13" max="13" width="11.28515625" style="1" customWidth="1"/>
    <col min="14" max="15" width="10.85546875" style="1" customWidth="1"/>
    <col min="16" max="16384" width="9.140625" style="1"/>
  </cols>
  <sheetData>
    <row r="1" spans="1:9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6"/>
    </row>
    <row r="2" spans="1:9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6"/>
    </row>
    <row r="6" spans="1:9" x14ac:dyDescent="0.25">
      <c r="A6" s="4"/>
      <c r="B6" s="5"/>
      <c r="C6" s="456" t="s">
        <v>168</v>
      </c>
      <c r="D6" s="456"/>
      <c r="E6" s="437" t="s">
        <v>4</v>
      </c>
      <c r="F6" s="437"/>
      <c r="G6" s="442" t="s">
        <v>5</v>
      </c>
      <c r="H6" s="443"/>
      <c r="I6" s="10" t="s">
        <v>570</v>
      </c>
    </row>
    <row r="7" spans="1:9" x14ac:dyDescent="0.25">
      <c r="A7" s="152" t="s">
        <v>269</v>
      </c>
      <c r="B7" s="152"/>
      <c r="C7" s="81" t="s">
        <v>6</v>
      </c>
      <c r="D7" s="72" t="s">
        <v>7</v>
      </c>
      <c r="E7" s="81" t="s">
        <v>6</v>
      </c>
      <c r="F7" s="72" t="s">
        <v>7</v>
      </c>
      <c r="G7" s="81" t="s">
        <v>6</v>
      </c>
      <c r="H7" s="72" t="s">
        <v>7</v>
      </c>
      <c r="I7" s="81" t="s">
        <v>6</v>
      </c>
    </row>
    <row r="8" spans="1:9" x14ac:dyDescent="0.25">
      <c r="A8" s="4" t="s">
        <v>550</v>
      </c>
      <c r="B8" s="4" t="s">
        <v>551</v>
      </c>
      <c r="C8" s="86">
        <v>3231</v>
      </c>
      <c r="D8" s="75">
        <v>379.2</v>
      </c>
      <c r="E8" s="86">
        <v>3395</v>
      </c>
      <c r="F8" s="75">
        <v>1171.75</v>
      </c>
      <c r="G8" s="86">
        <v>3496.85</v>
      </c>
      <c r="H8" s="75">
        <v>7183.94</v>
      </c>
      <c r="I8" s="86">
        <v>3496.85</v>
      </c>
    </row>
    <row r="9" spans="1:9" x14ac:dyDescent="0.25">
      <c r="A9" s="4" t="s">
        <v>268</v>
      </c>
      <c r="B9" s="4" t="s">
        <v>246</v>
      </c>
      <c r="C9" s="86">
        <v>16599</v>
      </c>
      <c r="D9" s="75">
        <v>8631.66</v>
      </c>
      <c r="E9" s="86">
        <v>17439</v>
      </c>
      <c r="F9" s="75">
        <v>18421.080000000002</v>
      </c>
      <c r="G9" s="86">
        <v>17962.169999999998</v>
      </c>
      <c r="H9" s="75">
        <v>7183.94</v>
      </c>
      <c r="I9" s="86">
        <v>17962.169999999998</v>
      </c>
    </row>
    <row r="10" spans="1:9" s="12" customFormat="1" ht="14.25" x14ac:dyDescent="0.2">
      <c r="A10" s="11" t="s">
        <v>75</v>
      </c>
      <c r="B10" s="11"/>
      <c r="C10" s="91">
        <f>SUM(C8:C9)</f>
        <v>19830</v>
      </c>
      <c r="D10" s="92">
        <f>SUM(D8:D9)</f>
        <v>9010.86</v>
      </c>
      <c r="E10" s="91">
        <f>SUM(E8:E9)</f>
        <v>20834</v>
      </c>
      <c r="F10" s="92">
        <f>SUM(F8:F9)</f>
        <v>19592.830000000002</v>
      </c>
      <c r="G10" s="91">
        <v>21459.019999999997</v>
      </c>
      <c r="H10" s="92">
        <f>SUM(H8:H9)</f>
        <v>14367.88</v>
      </c>
      <c r="I10" s="91">
        <v>21459.019999999997</v>
      </c>
    </row>
    <row r="11" spans="1:9" x14ac:dyDescent="0.25">
      <c r="A11" s="4" t="s">
        <v>247</v>
      </c>
      <c r="B11" s="4" t="s">
        <v>248</v>
      </c>
      <c r="C11" s="86">
        <v>56000</v>
      </c>
      <c r="D11" s="75">
        <v>9046.23</v>
      </c>
      <c r="E11" s="86">
        <v>56000</v>
      </c>
      <c r="F11" s="75">
        <f>4644.3+43164.18</f>
        <v>47808.480000000003</v>
      </c>
      <c r="G11" s="86">
        <v>56000</v>
      </c>
      <c r="H11" s="75">
        <v>0</v>
      </c>
      <c r="I11" s="86">
        <v>58500</v>
      </c>
    </row>
    <row r="12" spans="1:9" x14ac:dyDescent="0.25">
      <c r="A12" s="4" t="s">
        <v>249</v>
      </c>
      <c r="B12" s="4" t="s">
        <v>250</v>
      </c>
      <c r="C12" s="86">
        <v>20000</v>
      </c>
      <c r="D12" s="75">
        <v>27369.55</v>
      </c>
      <c r="E12" s="86">
        <v>20000</v>
      </c>
      <c r="F12" s="75">
        <v>19181.98</v>
      </c>
      <c r="G12" s="86">
        <v>20000</v>
      </c>
      <c r="H12" s="75">
        <v>0</v>
      </c>
      <c r="I12" s="86">
        <v>20000</v>
      </c>
    </row>
    <row r="13" spans="1:9" x14ac:dyDescent="0.25">
      <c r="A13" s="4" t="s">
        <v>251</v>
      </c>
      <c r="B13" s="4" t="s">
        <v>252</v>
      </c>
      <c r="C13" s="86">
        <v>15000</v>
      </c>
      <c r="D13" s="75">
        <v>12806.49</v>
      </c>
      <c r="E13" s="86">
        <v>15000</v>
      </c>
      <c r="F13" s="75">
        <v>15502.53</v>
      </c>
      <c r="G13" s="86">
        <v>15000</v>
      </c>
      <c r="H13" s="75">
        <v>5638.03</v>
      </c>
      <c r="I13" s="86">
        <v>17500</v>
      </c>
    </row>
    <row r="14" spans="1:9" x14ac:dyDescent="0.25">
      <c r="A14" s="4" t="s">
        <v>253</v>
      </c>
      <c r="B14" s="4" t="s">
        <v>229</v>
      </c>
      <c r="C14" s="86">
        <v>12000</v>
      </c>
      <c r="D14" s="75">
        <v>40023.78</v>
      </c>
      <c r="E14" s="86">
        <v>12000</v>
      </c>
      <c r="F14" s="75">
        <v>18076.47</v>
      </c>
      <c r="G14" s="86">
        <v>12000</v>
      </c>
      <c r="H14" s="75">
        <v>7108.36</v>
      </c>
      <c r="I14" s="86">
        <v>12000</v>
      </c>
    </row>
    <row r="15" spans="1:9" s="12" customFormat="1" ht="14.25" x14ac:dyDescent="0.2">
      <c r="A15" s="11" t="s">
        <v>82</v>
      </c>
      <c r="B15" s="11"/>
      <c r="C15" s="91">
        <f>SUM(C11:C14)</f>
        <v>103000</v>
      </c>
      <c r="D15" s="92">
        <f>SUM(D11:D14)</f>
        <v>89246.049999999988</v>
      </c>
      <c r="E15" s="91">
        <f>SUM(E11:E14)</f>
        <v>103000</v>
      </c>
      <c r="F15" s="92">
        <f>SUM(F11:F14)</f>
        <v>100569.46</v>
      </c>
      <c r="G15" s="91">
        <v>103000</v>
      </c>
      <c r="H15" s="92">
        <f>SUM(H11:H14)</f>
        <v>12746.39</v>
      </c>
      <c r="I15" s="91">
        <f>SUM(I11:I14)</f>
        <v>108000</v>
      </c>
    </row>
    <row r="16" spans="1:9" s="12" customFormat="1" ht="14.25" x14ac:dyDescent="0.2">
      <c r="A16" s="11" t="s">
        <v>9</v>
      </c>
      <c r="B16" s="69"/>
      <c r="C16" s="233">
        <f>C10+C15</f>
        <v>122830</v>
      </c>
      <c r="D16" s="93">
        <f>D10+D15</f>
        <v>98256.909999999989</v>
      </c>
      <c r="E16" s="233">
        <f>E10+E15</f>
        <v>123834</v>
      </c>
      <c r="F16" s="93">
        <f>F10+F15</f>
        <v>120162.29000000001</v>
      </c>
      <c r="G16" s="233">
        <v>124459.01999999999</v>
      </c>
      <c r="H16" s="93">
        <f>H10+H15</f>
        <v>27114.269999999997</v>
      </c>
      <c r="I16" s="233">
        <f>I10+I15</f>
        <v>129459.01999999999</v>
      </c>
    </row>
    <row r="17" spans="1:10" x14ac:dyDescent="0.25">
      <c r="A17" s="160"/>
      <c r="J17" s="154"/>
    </row>
  </sheetData>
  <mergeCells count="5">
    <mergeCell ref="A1:H1"/>
    <mergeCell ref="A2:H2"/>
    <mergeCell ref="C6:D6"/>
    <mergeCell ref="E6:F6"/>
    <mergeCell ref="G6:H6"/>
  </mergeCells>
  <pageMargins left="0.25" right="0.25" top="0.75" bottom="0.75" header="0.3" footer="0.3"/>
  <pageSetup fitToHeight="0" orientation="landscape" r:id="rId1"/>
  <ignoredErrors>
    <ignoredError sqref="I15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4EE0C-88E1-418E-9509-67C83638381F}">
  <sheetPr>
    <tabColor theme="9" tint="0.39997558519241921"/>
  </sheetPr>
  <dimension ref="A1:M31"/>
  <sheetViews>
    <sheetView zoomScale="130" zoomScaleNormal="130" workbookViewId="0">
      <selection activeCell="J12" sqref="J12"/>
    </sheetView>
  </sheetViews>
  <sheetFormatPr defaultColWidth="9.140625" defaultRowHeight="15" x14ac:dyDescent="0.25"/>
  <cols>
    <col min="1" max="1" width="24.7109375" style="1" customWidth="1"/>
    <col min="2" max="2" width="29.28515625" style="1" customWidth="1"/>
    <col min="3" max="7" width="14.28515625" style="1" customWidth="1"/>
    <col min="8" max="8" width="10" style="1" bestFit="1" customWidth="1"/>
    <col min="9" max="9" width="9.140625" style="1"/>
    <col min="10" max="10" width="12" style="1" customWidth="1"/>
    <col min="11" max="12" width="9.140625" style="1"/>
    <col min="13" max="13" width="11.42578125" style="1" bestFit="1" customWidth="1"/>
    <col min="14" max="16384" width="9.140625" style="1"/>
  </cols>
  <sheetData>
    <row r="1" spans="1:12" x14ac:dyDescent="0.25">
      <c r="A1" s="438" t="s">
        <v>0</v>
      </c>
      <c r="B1" s="438"/>
      <c r="C1" s="46"/>
      <c r="D1" s="46"/>
      <c r="E1" s="20"/>
    </row>
    <row r="2" spans="1:12" x14ac:dyDescent="0.25">
      <c r="A2" s="438" t="s">
        <v>568</v>
      </c>
      <c r="B2" s="438"/>
      <c r="C2" s="46"/>
      <c r="D2" s="46"/>
      <c r="E2" s="20"/>
    </row>
    <row r="3" spans="1:12" x14ac:dyDescent="0.25">
      <c r="E3" s="20"/>
    </row>
    <row r="4" spans="1:12" x14ac:dyDescent="0.25">
      <c r="A4" s="21" t="s">
        <v>309</v>
      </c>
      <c r="B4" s="63"/>
      <c r="C4" s="442" t="s">
        <v>288</v>
      </c>
      <c r="D4" s="443"/>
      <c r="E4" s="442" t="s">
        <v>5</v>
      </c>
      <c r="F4" s="443"/>
      <c r="G4" s="10" t="s">
        <v>570</v>
      </c>
    </row>
    <row r="5" spans="1:12" x14ac:dyDescent="0.25">
      <c r="A5" s="4"/>
      <c r="B5" s="4"/>
      <c r="C5" s="132" t="s">
        <v>6</v>
      </c>
      <c r="D5" s="135" t="s">
        <v>7</v>
      </c>
      <c r="E5" s="81" t="s">
        <v>6</v>
      </c>
      <c r="F5" s="135" t="s">
        <v>597</v>
      </c>
      <c r="G5" s="81" t="s">
        <v>606</v>
      </c>
    </row>
    <row r="6" spans="1:12" x14ac:dyDescent="0.25">
      <c r="A6" s="4" t="s">
        <v>521</v>
      </c>
      <c r="B6" s="4" t="s">
        <v>653</v>
      </c>
      <c r="C6" s="86">
        <v>42000</v>
      </c>
      <c r="D6" s="75">
        <v>29410.959999999999</v>
      </c>
      <c r="E6" s="82">
        <v>43260</v>
      </c>
      <c r="F6" s="75">
        <v>21984.6</v>
      </c>
      <c r="G6" s="82"/>
    </row>
    <row r="7" spans="1:12" s="12" customFormat="1" x14ac:dyDescent="0.25">
      <c r="A7" s="11" t="s">
        <v>75</v>
      </c>
      <c r="B7" s="11"/>
      <c r="C7" s="90">
        <f>C6</f>
        <v>42000</v>
      </c>
      <c r="D7" s="74">
        <f t="shared" ref="D7:F7" si="0">D6</f>
        <v>29410.959999999999</v>
      </c>
      <c r="E7" s="90">
        <f t="shared" si="0"/>
        <v>43260</v>
      </c>
      <c r="F7" s="74">
        <f t="shared" si="0"/>
        <v>21984.6</v>
      </c>
      <c r="G7" s="90">
        <f>43600+2200</f>
        <v>45800</v>
      </c>
      <c r="H7" s="1" t="s">
        <v>776</v>
      </c>
      <c r="I7" s="1"/>
      <c r="J7" s="1"/>
      <c r="K7" s="1"/>
      <c r="L7" s="1"/>
    </row>
    <row r="8" spans="1:12" x14ac:dyDescent="0.25">
      <c r="A8" s="4" t="s">
        <v>465</v>
      </c>
      <c r="B8" s="4" t="s">
        <v>314</v>
      </c>
      <c r="C8" s="86"/>
      <c r="D8" s="75"/>
      <c r="E8" s="82">
        <v>1000</v>
      </c>
      <c r="F8" s="75">
        <v>175</v>
      </c>
      <c r="G8" s="82">
        <v>1000</v>
      </c>
    </row>
    <row r="9" spans="1:12" x14ac:dyDescent="0.25">
      <c r="A9" s="4" t="s">
        <v>414</v>
      </c>
      <c r="B9" s="4" t="s">
        <v>289</v>
      </c>
      <c r="C9" s="86">
        <v>7859</v>
      </c>
      <c r="D9" s="75">
        <v>5895</v>
      </c>
      <c r="E9" s="82">
        <v>7982</v>
      </c>
      <c r="F9" s="75">
        <v>5896.5</v>
      </c>
      <c r="G9" s="82">
        <v>8133</v>
      </c>
      <c r="I9" s="4" t="s">
        <v>777</v>
      </c>
      <c r="J9" s="250">
        <f>17.34*32</f>
        <v>554.88</v>
      </c>
      <c r="K9" s="4" t="s">
        <v>780</v>
      </c>
      <c r="L9" s="4"/>
    </row>
    <row r="10" spans="1:12" x14ac:dyDescent="0.25">
      <c r="A10" s="4" t="s">
        <v>415</v>
      </c>
      <c r="B10" s="4" t="s">
        <v>258</v>
      </c>
      <c r="C10" s="86">
        <v>300</v>
      </c>
      <c r="D10" s="75">
        <v>220.84</v>
      </c>
      <c r="E10" s="82">
        <v>300</v>
      </c>
      <c r="F10" s="75">
        <v>138.09</v>
      </c>
      <c r="G10" s="82">
        <v>300</v>
      </c>
      <c r="I10" s="4" t="s">
        <v>778</v>
      </c>
      <c r="J10" s="250">
        <f>(24*3)*15</f>
        <v>1080</v>
      </c>
      <c r="K10" s="4" t="s">
        <v>783</v>
      </c>
      <c r="L10" s="4"/>
    </row>
    <row r="11" spans="1:12" x14ac:dyDescent="0.25">
      <c r="A11" s="4" t="s">
        <v>416</v>
      </c>
      <c r="B11" s="4" t="s">
        <v>78</v>
      </c>
      <c r="C11" s="86">
        <v>22700</v>
      </c>
      <c r="D11" s="75">
        <v>28062.95</v>
      </c>
      <c r="E11" s="82">
        <v>18000</v>
      </c>
      <c r="F11" s="75">
        <v>4527.1400000000003</v>
      </c>
      <c r="G11" s="82">
        <v>10000</v>
      </c>
      <c r="I11" s="4" t="s">
        <v>779</v>
      </c>
      <c r="J11" s="250">
        <f>SUM(J9:J10)</f>
        <v>1634.88</v>
      </c>
      <c r="K11" s="4"/>
      <c r="L11" s="4"/>
    </row>
    <row r="12" spans="1:12" x14ac:dyDescent="0.25">
      <c r="A12" s="4" t="s">
        <v>417</v>
      </c>
      <c r="B12" s="4" t="s">
        <v>311</v>
      </c>
      <c r="C12" s="86">
        <v>45000</v>
      </c>
      <c r="D12" s="75">
        <v>54872.08</v>
      </c>
      <c r="E12" s="82">
        <v>12250.5</v>
      </c>
      <c r="F12" s="75">
        <v>6428.49</v>
      </c>
      <c r="G12" s="82">
        <f>10140+600+1935</f>
        <v>12675</v>
      </c>
      <c r="I12" s="4" t="s">
        <v>781</v>
      </c>
      <c r="J12" s="250">
        <f>J11*26</f>
        <v>42506.880000000005</v>
      </c>
      <c r="K12" s="4"/>
      <c r="L12" s="4"/>
    </row>
    <row r="13" spans="1:12" x14ac:dyDescent="0.25">
      <c r="A13" s="4" t="s">
        <v>466</v>
      </c>
      <c r="B13" s="4" t="s">
        <v>510</v>
      </c>
      <c r="C13" s="86"/>
      <c r="D13" s="75"/>
      <c r="E13" s="82">
        <v>20367.5</v>
      </c>
      <c r="F13" s="75">
        <v>8800.67</v>
      </c>
      <c r="G13" s="82">
        <f t="shared" ref="G13:G14" si="1">E13*1.08</f>
        <v>21996.9</v>
      </c>
      <c r="I13" s="4" t="s">
        <v>782</v>
      </c>
      <c r="J13" s="415">
        <f>J12+2200</f>
        <v>44706.880000000005</v>
      </c>
      <c r="K13" s="250">
        <v>2200</v>
      </c>
      <c r="L13" s="4"/>
    </row>
    <row r="14" spans="1:12" x14ac:dyDescent="0.25">
      <c r="A14" s="4" t="s">
        <v>467</v>
      </c>
      <c r="B14" s="4" t="s">
        <v>312</v>
      </c>
      <c r="C14" s="86"/>
      <c r="D14" s="75"/>
      <c r="E14" s="82">
        <v>16253.5</v>
      </c>
      <c r="F14" s="75">
        <v>8620.19</v>
      </c>
      <c r="G14" s="82">
        <f t="shared" si="1"/>
        <v>17553.780000000002</v>
      </c>
      <c r="I14" s="59" t="s">
        <v>784</v>
      </c>
    </row>
    <row r="15" spans="1:12" x14ac:dyDescent="0.25">
      <c r="A15" s="4" t="s">
        <v>418</v>
      </c>
      <c r="B15" s="4" t="s">
        <v>290</v>
      </c>
      <c r="C15" s="86">
        <v>40000</v>
      </c>
      <c r="D15" s="75">
        <v>31920.11</v>
      </c>
      <c r="E15" s="82">
        <v>41078</v>
      </c>
      <c r="F15" s="75">
        <f>11649.36+6758.6</f>
        <v>18407.96</v>
      </c>
      <c r="G15" s="82">
        <f>42037+500</f>
        <v>42537</v>
      </c>
    </row>
    <row r="16" spans="1:12" x14ac:dyDescent="0.25">
      <c r="A16" s="4" t="s">
        <v>420</v>
      </c>
      <c r="B16" s="4" t="s">
        <v>291</v>
      </c>
      <c r="C16" s="86">
        <v>7500</v>
      </c>
      <c r="D16" s="75">
        <v>3226</v>
      </c>
      <c r="E16" s="82">
        <v>7500</v>
      </c>
      <c r="F16" s="75">
        <v>1455.75</v>
      </c>
      <c r="G16" s="82">
        <v>4500</v>
      </c>
    </row>
    <row r="17" spans="1:13" s="12" customFormat="1" x14ac:dyDescent="0.25">
      <c r="A17" s="4" t="s">
        <v>419</v>
      </c>
      <c r="B17" s="4" t="s">
        <v>313</v>
      </c>
      <c r="C17" s="86">
        <v>15000</v>
      </c>
      <c r="D17" s="75">
        <v>0</v>
      </c>
      <c r="E17" s="82">
        <v>0</v>
      </c>
      <c r="F17" s="75">
        <v>3347.18</v>
      </c>
      <c r="G17" s="251">
        <v>18627.649999999998</v>
      </c>
      <c r="H17" s="1"/>
      <c r="I17" s="1"/>
      <c r="J17" s="1"/>
      <c r="K17" s="1"/>
      <c r="L17" s="1"/>
      <c r="M17" s="1"/>
    </row>
    <row r="18" spans="1:13" x14ac:dyDescent="0.25">
      <c r="A18" s="4" t="s">
        <v>468</v>
      </c>
      <c r="B18" s="4" t="s">
        <v>310</v>
      </c>
      <c r="C18" s="86"/>
      <c r="D18" s="75"/>
      <c r="E18" s="82">
        <v>5000</v>
      </c>
      <c r="F18" s="75">
        <v>2550</v>
      </c>
      <c r="G18" s="82">
        <f>12*510</f>
        <v>6120</v>
      </c>
      <c r="H18" s="56"/>
    </row>
    <row r="19" spans="1:13" x14ac:dyDescent="0.25">
      <c r="A19" s="4" t="s">
        <v>464</v>
      </c>
      <c r="B19" s="4" t="s">
        <v>511</v>
      </c>
      <c r="C19" s="86"/>
      <c r="D19" s="75"/>
      <c r="E19" s="82">
        <v>3816</v>
      </c>
      <c r="F19" s="75">
        <v>1991.81</v>
      </c>
      <c r="G19" s="82">
        <v>3205</v>
      </c>
      <c r="H19" s="56"/>
    </row>
    <row r="20" spans="1:13" x14ac:dyDescent="0.25">
      <c r="A20" s="4" t="s">
        <v>421</v>
      </c>
      <c r="B20" s="4" t="s">
        <v>186</v>
      </c>
      <c r="C20" s="86">
        <v>0</v>
      </c>
      <c r="D20" s="75"/>
      <c r="E20" s="82">
        <f>6*250</f>
        <v>1500</v>
      </c>
      <c r="F20" s="75">
        <v>790</v>
      </c>
      <c r="G20" s="82">
        <f>6*250</f>
        <v>1500</v>
      </c>
    </row>
    <row r="21" spans="1:13" s="12" customFormat="1" ht="14.25" x14ac:dyDescent="0.2">
      <c r="A21" s="11" t="s">
        <v>82</v>
      </c>
      <c r="B21" s="11"/>
      <c r="C21" s="90">
        <f>SUM(C8:C20)</f>
        <v>138359</v>
      </c>
      <c r="D21" s="74">
        <f>SUM(D8:D20)</f>
        <v>124196.98</v>
      </c>
      <c r="E21" s="90">
        <f>SUM(E8:E20)</f>
        <v>135047.5</v>
      </c>
      <c r="F21" s="74">
        <f>SUM(F8:F20)</f>
        <v>63128.78</v>
      </c>
      <c r="G21" s="90">
        <f>SUM(G8:G20)</f>
        <v>148148.33000000002</v>
      </c>
    </row>
    <row r="22" spans="1:13" s="12" customFormat="1" ht="14.25" x14ac:dyDescent="0.2">
      <c r="A22" s="11" t="s">
        <v>9</v>
      </c>
      <c r="B22" s="11"/>
      <c r="C22" s="90">
        <f>C21+C7</f>
        <v>180359</v>
      </c>
      <c r="D22" s="74">
        <f>D21+D7</f>
        <v>153607.94</v>
      </c>
      <c r="E22" s="90">
        <f>E21+E7</f>
        <v>178307.5</v>
      </c>
      <c r="F22" s="74">
        <f>F21+F7</f>
        <v>85113.38</v>
      </c>
      <c r="G22" s="90">
        <f>G21+G7</f>
        <v>193948.33000000002</v>
      </c>
      <c r="J22" s="182"/>
    </row>
    <row r="23" spans="1:13" x14ac:dyDescent="0.25">
      <c r="A23" s="59" t="s">
        <v>292</v>
      </c>
      <c r="I23" s="154"/>
    </row>
    <row r="24" spans="1:13" x14ac:dyDescent="0.25">
      <c r="A24" s="59"/>
      <c r="E24" s="1" t="s">
        <v>654</v>
      </c>
    </row>
    <row r="25" spans="1:13" x14ac:dyDescent="0.25">
      <c r="A25" s="59" t="s">
        <v>711</v>
      </c>
      <c r="E25" s="154"/>
    </row>
    <row r="26" spans="1:13" x14ac:dyDescent="0.25">
      <c r="A26" s="59" t="s">
        <v>655</v>
      </c>
    </row>
    <row r="27" spans="1:13" x14ac:dyDescent="0.25">
      <c r="A27" s="59" t="s">
        <v>592</v>
      </c>
      <c r="B27" s="56">
        <v>4142</v>
      </c>
      <c r="C27" s="154"/>
    </row>
    <row r="28" spans="1:13" x14ac:dyDescent="0.25">
      <c r="A28" s="59"/>
    </row>
    <row r="29" spans="1:13" x14ac:dyDescent="0.25">
      <c r="A29" s="59" t="s">
        <v>712</v>
      </c>
    </row>
    <row r="30" spans="1:13" x14ac:dyDescent="0.25">
      <c r="A30" s="59" t="s">
        <v>785</v>
      </c>
    </row>
    <row r="31" spans="1:13" x14ac:dyDescent="0.25">
      <c r="A31" s="247" t="s">
        <v>786</v>
      </c>
    </row>
  </sheetData>
  <mergeCells count="4">
    <mergeCell ref="A1:B1"/>
    <mergeCell ref="A2:B2"/>
    <mergeCell ref="C4:D4"/>
    <mergeCell ref="E4:F4"/>
  </mergeCells>
  <pageMargins left="0.25" right="0.25" top="0.75" bottom="0.75" header="0.3" footer="0.3"/>
  <pageSetup orientation="landscape" r:id="rId1"/>
  <ignoredErrors>
    <ignoredError sqref="F21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11D3-4B54-49CD-872A-260EC9957C5F}">
  <sheetPr>
    <tabColor theme="9" tint="0.39997558519241921"/>
  </sheetPr>
  <dimension ref="A1:K9"/>
  <sheetViews>
    <sheetView zoomScale="130" zoomScaleNormal="130" workbookViewId="0">
      <selection sqref="A1:K10"/>
    </sheetView>
  </sheetViews>
  <sheetFormatPr defaultColWidth="9.140625" defaultRowHeight="15" x14ac:dyDescent="0.25"/>
  <cols>
    <col min="1" max="1" width="32" style="1" customWidth="1"/>
    <col min="2" max="2" width="9.140625" style="1"/>
    <col min="3" max="9" width="9.7109375" style="1" customWidth="1"/>
    <col min="10" max="16384" width="9.140625" style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  <c r="H1" s="46"/>
      <c r="I1" s="46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</row>
    <row r="3" spans="1:11" ht="18" customHeight="1" x14ac:dyDescent="0.25">
      <c r="A3" s="155" t="s">
        <v>293</v>
      </c>
      <c r="B3" s="155"/>
      <c r="C3" s="437" t="s">
        <v>2</v>
      </c>
      <c r="D3" s="437"/>
      <c r="E3" s="442" t="s">
        <v>168</v>
      </c>
      <c r="F3" s="443"/>
      <c r="G3" s="442" t="s">
        <v>4</v>
      </c>
      <c r="H3" s="443"/>
      <c r="I3" s="442" t="s">
        <v>5</v>
      </c>
      <c r="J3" s="443"/>
      <c r="K3" s="10" t="s">
        <v>570</v>
      </c>
    </row>
    <row r="4" spans="1:11" ht="18.75" customHeight="1" x14ac:dyDescent="0.25">
      <c r="A4" s="4"/>
      <c r="B4" s="156"/>
      <c r="C4" s="234" t="s">
        <v>6</v>
      </c>
      <c r="D4" s="159" t="s">
        <v>7</v>
      </c>
      <c r="E4" s="234" t="s">
        <v>6</v>
      </c>
      <c r="F4" s="159" t="s">
        <v>7</v>
      </c>
      <c r="G4" s="234" t="s">
        <v>6</v>
      </c>
      <c r="H4" s="159" t="s">
        <v>7</v>
      </c>
      <c r="I4" s="235" t="s">
        <v>6</v>
      </c>
      <c r="J4" s="159" t="s">
        <v>7</v>
      </c>
      <c r="K4" s="235" t="s">
        <v>6</v>
      </c>
    </row>
    <row r="5" spans="1:11" x14ac:dyDescent="0.25">
      <c r="A5" s="4" t="s">
        <v>294</v>
      </c>
      <c r="B5" s="157" t="s">
        <v>20</v>
      </c>
      <c r="C5" s="230">
        <v>0</v>
      </c>
      <c r="D5" s="139">
        <v>0</v>
      </c>
      <c r="E5" s="84">
        <v>250</v>
      </c>
      <c r="F5" s="85"/>
      <c r="G5" s="84">
        <v>250</v>
      </c>
      <c r="H5" s="75"/>
      <c r="I5" s="86"/>
      <c r="J5" s="75"/>
      <c r="K5" s="84">
        <v>250</v>
      </c>
    </row>
    <row r="6" spans="1:11" x14ac:dyDescent="0.25">
      <c r="A6" s="4" t="s">
        <v>295</v>
      </c>
      <c r="B6" s="157" t="s">
        <v>114</v>
      </c>
      <c r="C6" s="230">
        <v>0</v>
      </c>
      <c r="D6" s="139">
        <v>0</v>
      </c>
      <c r="E6" s="84">
        <v>250</v>
      </c>
      <c r="F6" s="85"/>
      <c r="G6" s="84">
        <v>250</v>
      </c>
      <c r="H6" s="75"/>
      <c r="I6" s="86"/>
      <c r="J6" s="75"/>
      <c r="K6" s="84">
        <v>250</v>
      </c>
    </row>
    <row r="7" spans="1:11" x14ac:dyDescent="0.25">
      <c r="A7" s="4" t="s">
        <v>296</v>
      </c>
      <c r="B7" s="157" t="s">
        <v>24</v>
      </c>
      <c r="C7" s="230">
        <v>0</v>
      </c>
      <c r="D7" s="139">
        <v>0</v>
      </c>
      <c r="E7" s="84">
        <v>100</v>
      </c>
      <c r="F7" s="85"/>
      <c r="G7" s="84">
        <v>100</v>
      </c>
      <c r="H7" s="75">
        <v>55.96</v>
      </c>
      <c r="I7" s="86"/>
      <c r="J7" s="75"/>
      <c r="K7" s="84">
        <v>100</v>
      </c>
    </row>
    <row r="8" spans="1:11" x14ac:dyDescent="0.25">
      <c r="A8" s="4"/>
      <c r="B8" s="158" t="s">
        <v>9</v>
      </c>
      <c r="C8" s="230">
        <v>0</v>
      </c>
      <c r="D8" s="139">
        <v>0</v>
      </c>
      <c r="E8" s="91">
        <v>600</v>
      </c>
      <c r="F8" s="92"/>
      <c r="G8" s="91">
        <f>SUM(G5:G7)</f>
        <v>600</v>
      </c>
      <c r="H8" s="74">
        <v>56</v>
      </c>
      <c r="I8" s="90">
        <v>600</v>
      </c>
      <c r="J8" s="75"/>
      <c r="K8" s="91">
        <f>SUM(K5:K7)</f>
        <v>600</v>
      </c>
    </row>
    <row r="9" spans="1:11" x14ac:dyDescent="0.25">
      <c r="E9" s="1" t="s">
        <v>593</v>
      </c>
    </row>
  </sheetData>
  <mergeCells count="6">
    <mergeCell ref="I3:J3"/>
    <mergeCell ref="A1:G1"/>
    <mergeCell ref="A2:G2"/>
    <mergeCell ref="C3:D3"/>
    <mergeCell ref="E3:F3"/>
    <mergeCell ref="G3:H3"/>
  </mergeCells>
  <pageMargins left="0.25" right="0.25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4647-0EEA-4E12-8950-DD6B3B2806C7}">
  <sheetPr>
    <tabColor theme="9" tint="0.39997558519241921"/>
    <pageSetUpPr fitToPage="1"/>
  </sheetPr>
  <dimension ref="A2:P22"/>
  <sheetViews>
    <sheetView zoomScale="130" zoomScaleNormal="130" workbookViewId="0">
      <selection activeCell="P10" sqref="P10"/>
    </sheetView>
  </sheetViews>
  <sheetFormatPr defaultRowHeight="15" x14ac:dyDescent="0.25"/>
  <cols>
    <col min="1" max="1" width="23.85546875" customWidth="1"/>
    <col min="2" max="2" width="21.7109375" customWidth="1"/>
    <col min="3" max="7" width="11.28515625" hidden="1" customWidth="1"/>
    <col min="8" max="15" width="11.28515625" customWidth="1"/>
    <col min="16" max="16" width="15.140625" customWidth="1"/>
  </cols>
  <sheetData>
    <row r="2" spans="1:16" x14ac:dyDescent="0.25">
      <c r="A2" s="438" t="s">
        <v>0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1"/>
      <c r="O2" s="1"/>
    </row>
    <row r="3" spans="1:16" x14ac:dyDescent="0.25">
      <c r="A3" s="438" t="s">
        <v>568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1"/>
      <c r="O3" s="1"/>
    </row>
    <row r="4" spans="1:16" x14ac:dyDescent="0.25">
      <c r="A4" s="5" t="s">
        <v>270</v>
      </c>
      <c r="B4" s="11"/>
      <c r="C4" s="10" t="s">
        <v>36</v>
      </c>
      <c r="D4" s="10"/>
      <c r="E4" s="10" t="s">
        <v>12</v>
      </c>
      <c r="F4" s="10"/>
      <c r="G4" s="226" t="s">
        <v>2</v>
      </c>
      <c r="H4" s="4"/>
      <c r="I4" s="256" t="s">
        <v>3</v>
      </c>
      <c r="J4" s="207"/>
      <c r="K4" s="442" t="s">
        <v>4</v>
      </c>
      <c r="L4" s="443"/>
      <c r="M4" s="442" t="s">
        <v>5</v>
      </c>
      <c r="N4" s="443"/>
      <c r="O4" s="10" t="s">
        <v>570</v>
      </c>
    </row>
    <row r="5" spans="1:16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  <c r="J5" s="72" t="s">
        <v>7</v>
      </c>
      <c r="K5" s="81" t="s">
        <v>6</v>
      </c>
      <c r="L5" s="72" t="s">
        <v>7</v>
      </c>
      <c r="M5" s="81" t="s">
        <v>6</v>
      </c>
      <c r="N5" s="72" t="s">
        <v>7</v>
      </c>
      <c r="O5" s="81" t="s">
        <v>8</v>
      </c>
      <c r="P5" s="426">
        <v>0.02</v>
      </c>
    </row>
    <row r="6" spans="1:16" x14ac:dyDescent="0.25">
      <c r="A6" s="4" t="s">
        <v>271</v>
      </c>
      <c r="B6" s="4" t="s">
        <v>40</v>
      </c>
      <c r="C6" s="86">
        <v>12070</v>
      </c>
      <c r="D6" s="83">
        <v>12095</v>
      </c>
      <c r="E6" s="133">
        <v>12372</v>
      </c>
      <c r="F6" s="83">
        <v>12372</v>
      </c>
      <c r="G6" s="133">
        <v>12681</v>
      </c>
      <c r="H6" s="83">
        <v>10255.92</v>
      </c>
      <c r="I6" s="133">
        <v>12988</v>
      </c>
      <c r="J6" s="136">
        <v>12579</v>
      </c>
      <c r="K6" s="237">
        <v>13323</v>
      </c>
      <c r="L6" s="175">
        <v>5401</v>
      </c>
      <c r="M6" s="237">
        <v>13723</v>
      </c>
      <c r="N6" s="175">
        <v>2812.08</v>
      </c>
      <c r="O6" s="239">
        <f>(7*18.38)*52</f>
        <v>6690.32</v>
      </c>
      <c r="P6" s="217">
        <f>O6*1.02</f>
        <v>6824.1264000000001</v>
      </c>
    </row>
    <row r="7" spans="1:16" x14ac:dyDescent="0.25">
      <c r="A7" s="4" t="s">
        <v>272</v>
      </c>
      <c r="B7" s="4" t="s">
        <v>273</v>
      </c>
      <c r="C7" s="86">
        <v>1800</v>
      </c>
      <c r="D7" s="83">
        <v>3157</v>
      </c>
      <c r="E7" s="133">
        <v>2000</v>
      </c>
      <c r="F7" s="83">
        <v>2000</v>
      </c>
      <c r="G7" s="133">
        <v>2050</v>
      </c>
      <c r="H7" s="83">
        <v>2050</v>
      </c>
      <c r="I7" s="133">
        <v>2050</v>
      </c>
      <c r="J7" s="136">
        <v>1825</v>
      </c>
      <c r="K7" s="238">
        <v>2154</v>
      </c>
      <c r="L7" s="175">
        <v>800</v>
      </c>
      <c r="M7" s="238">
        <v>2200</v>
      </c>
      <c r="N7" s="175">
        <v>1100</v>
      </c>
      <c r="O7" s="239">
        <v>2400</v>
      </c>
      <c r="P7" s="239">
        <v>2400</v>
      </c>
    </row>
    <row r="8" spans="1:16" x14ac:dyDescent="0.25">
      <c r="A8" s="4" t="s">
        <v>662</v>
      </c>
      <c r="B8" s="4" t="s">
        <v>274</v>
      </c>
      <c r="C8" s="86">
        <v>5757</v>
      </c>
      <c r="D8" s="75">
        <v>4528</v>
      </c>
      <c r="E8" s="133">
        <v>5901</v>
      </c>
      <c r="F8" s="75">
        <v>3577</v>
      </c>
      <c r="G8" s="133">
        <v>6050</v>
      </c>
      <c r="H8" s="75">
        <v>4910.22</v>
      </c>
      <c r="I8" s="133">
        <v>6620</v>
      </c>
      <c r="J8" s="136">
        <v>6517.32</v>
      </c>
      <c r="K8" s="238">
        <v>6356</v>
      </c>
      <c r="L8" s="75">
        <v>2632.5</v>
      </c>
      <c r="M8" s="238">
        <v>6500</v>
      </c>
      <c r="N8" s="75">
        <v>3250</v>
      </c>
      <c r="O8" s="86">
        <v>6750</v>
      </c>
      <c r="P8" s="86">
        <v>6750</v>
      </c>
    </row>
    <row r="9" spans="1:16" x14ac:dyDescent="0.25">
      <c r="A9" s="11" t="s">
        <v>75</v>
      </c>
      <c r="B9" s="11"/>
      <c r="C9" s="90">
        <f t="shared" ref="C9:L9" si="0">SUM(C6:C8)</f>
        <v>19627</v>
      </c>
      <c r="D9" s="74">
        <f t="shared" si="0"/>
        <v>19780</v>
      </c>
      <c r="E9" s="90">
        <f t="shared" si="0"/>
        <v>20273</v>
      </c>
      <c r="F9" s="74">
        <f t="shared" si="0"/>
        <v>17949</v>
      </c>
      <c r="G9" s="90">
        <f t="shared" si="0"/>
        <v>20781</v>
      </c>
      <c r="H9" s="74">
        <f t="shared" si="0"/>
        <v>17216.14</v>
      </c>
      <c r="I9" s="90">
        <f t="shared" si="0"/>
        <v>21658</v>
      </c>
      <c r="J9" s="74">
        <f t="shared" si="0"/>
        <v>20921.32</v>
      </c>
      <c r="K9" s="90">
        <f t="shared" si="0"/>
        <v>21833</v>
      </c>
      <c r="L9" s="74">
        <f t="shared" si="0"/>
        <v>8833.5</v>
      </c>
      <c r="M9" s="90">
        <f>SUM(M6:M8)</f>
        <v>22423</v>
      </c>
      <c r="N9" s="74">
        <f t="shared" ref="N9" si="1">SUM(N6:N8)</f>
        <v>7162.08</v>
      </c>
      <c r="O9" s="90">
        <f>SUM(O6:O8)</f>
        <v>15840.32</v>
      </c>
      <c r="P9" s="90">
        <f>SUM(P6:P8)</f>
        <v>15974.126400000001</v>
      </c>
    </row>
    <row r="10" spans="1:16" x14ac:dyDescent="0.25">
      <c r="A10" s="4" t="s">
        <v>663</v>
      </c>
      <c r="B10" s="4" t="s">
        <v>41</v>
      </c>
      <c r="C10" s="86"/>
      <c r="D10" s="75"/>
      <c r="E10" s="133"/>
      <c r="F10" s="75"/>
      <c r="G10" s="133">
        <v>0</v>
      </c>
      <c r="H10" s="75">
        <v>111.13</v>
      </c>
      <c r="I10" s="86"/>
      <c r="J10" s="75"/>
      <c r="K10" s="120"/>
      <c r="L10" s="75"/>
      <c r="M10" s="120"/>
      <c r="N10" s="75"/>
      <c r="O10" s="86"/>
    </row>
    <row r="11" spans="1:16" x14ac:dyDescent="0.25">
      <c r="A11" s="4" t="s">
        <v>275</v>
      </c>
      <c r="B11" s="4" t="s">
        <v>20</v>
      </c>
      <c r="C11" s="86">
        <v>500</v>
      </c>
      <c r="D11" s="83">
        <v>302</v>
      </c>
      <c r="E11" s="86">
        <v>500</v>
      </c>
      <c r="F11" s="83">
        <v>74</v>
      </c>
      <c r="G11" s="86">
        <v>500</v>
      </c>
      <c r="H11" s="83">
        <v>0</v>
      </c>
      <c r="I11" s="86">
        <v>500</v>
      </c>
      <c r="J11" s="75">
        <v>0</v>
      </c>
      <c r="K11" s="120">
        <v>500</v>
      </c>
      <c r="L11" s="75">
        <v>18</v>
      </c>
      <c r="M11" s="120">
        <v>250</v>
      </c>
      <c r="N11" s="75">
        <v>0</v>
      </c>
      <c r="O11" s="86">
        <v>250</v>
      </c>
    </row>
    <row r="12" spans="1:16" x14ac:dyDescent="0.25">
      <c r="A12" s="4" t="s">
        <v>276</v>
      </c>
      <c r="B12" s="4" t="s">
        <v>22</v>
      </c>
      <c r="C12" s="82">
        <v>100</v>
      </c>
      <c r="D12" s="83">
        <v>107</v>
      </c>
      <c r="E12" s="82">
        <v>100</v>
      </c>
      <c r="F12" s="83">
        <v>0</v>
      </c>
      <c r="G12" s="82">
        <v>100</v>
      </c>
      <c r="H12" s="83">
        <v>55</v>
      </c>
      <c r="I12" s="82">
        <v>100</v>
      </c>
      <c r="J12" s="83">
        <v>116</v>
      </c>
      <c r="K12" s="120">
        <v>100</v>
      </c>
      <c r="L12" s="75">
        <v>0</v>
      </c>
      <c r="M12" s="120">
        <v>150</v>
      </c>
      <c r="N12" s="75">
        <v>150</v>
      </c>
      <c r="O12" s="86">
        <v>150</v>
      </c>
    </row>
    <row r="13" spans="1:16" x14ac:dyDescent="0.25">
      <c r="A13" s="4" t="s">
        <v>277</v>
      </c>
      <c r="B13" s="4" t="s">
        <v>130</v>
      </c>
      <c r="C13" s="239">
        <v>6600</v>
      </c>
      <c r="D13" s="83">
        <v>6150</v>
      </c>
      <c r="E13" s="133">
        <v>9150</v>
      </c>
      <c r="F13" s="83">
        <v>6460</v>
      </c>
      <c r="G13" s="133">
        <v>9873</v>
      </c>
      <c r="H13" s="83">
        <v>8824</v>
      </c>
      <c r="I13" s="133">
        <v>11000</v>
      </c>
      <c r="J13" s="136">
        <v>8997.48</v>
      </c>
      <c r="K13" s="120">
        <v>11000</v>
      </c>
      <c r="L13" s="75">
        <v>2804.25</v>
      </c>
      <c r="M13" s="120">
        <v>1000</v>
      </c>
      <c r="N13" s="75">
        <v>150</v>
      </c>
      <c r="O13" s="86">
        <v>1000</v>
      </c>
    </row>
    <row r="14" spans="1:16" x14ac:dyDescent="0.25">
      <c r="A14" s="4" t="s">
        <v>278</v>
      </c>
      <c r="B14" s="4" t="s">
        <v>279</v>
      </c>
      <c r="C14" s="239">
        <v>500</v>
      </c>
      <c r="D14" s="75">
        <v>6532</v>
      </c>
      <c r="E14" s="86">
        <v>500</v>
      </c>
      <c r="F14" s="75">
        <v>75</v>
      </c>
      <c r="G14" s="86">
        <v>500</v>
      </c>
      <c r="H14" s="75">
        <v>0</v>
      </c>
      <c r="I14" s="86">
        <v>500</v>
      </c>
      <c r="J14" s="75">
        <v>0</v>
      </c>
      <c r="K14" s="120">
        <v>500</v>
      </c>
      <c r="L14" s="75">
        <v>260</v>
      </c>
      <c r="M14" s="120">
        <v>500</v>
      </c>
      <c r="N14" s="75">
        <v>0</v>
      </c>
      <c r="O14" s="86">
        <v>500</v>
      </c>
    </row>
    <row r="15" spans="1:16" x14ac:dyDescent="0.25">
      <c r="A15" s="4" t="s">
        <v>280</v>
      </c>
      <c r="B15" s="4" t="s">
        <v>78</v>
      </c>
      <c r="C15" s="239"/>
      <c r="D15" s="75"/>
      <c r="E15" s="86"/>
      <c r="F15" s="75"/>
      <c r="G15" s="86"/>
      <c r="H15" s="75"/>
      <c r="I15" s="86"/>
      <c r="J15" s="75"/>
      <c r="K15" s="120"/>
      <c r="L15" s="75"/>
      <c r="M15" s="120">
        <v>11042</v>
      </c>
      <c r="N15" s="75">
        <v>5521</v>
      </c>
      <c r="O15" s="86">
        <v>11500</v>
      </c>
    </row>
    <row r="16" spans="1:16" x14ac:dyDescent="0.25">
      <c r="A16" s="4" t="s">
        <v>281</v>
      </c>
      <c r="B16" s="4" t="s">
        <v>79</v>
      </c>
      <c r="C16" s="236">
        <v>100</v>
      </c>
      <c r="D16" s="83">
        <v>174</v>
      </c>
      <c r="E16" s="236">
        <v>100</v>
      </c>
      <c r="F16" s="83">
        <v>0</v>
      </c>
      <c r="G16" s="236">
        <v>100</v>
      </c>
      <c r="H16" s="83">
        <v>0</v>
      </c>
      <c r="I16" s="82">
        <v>100</v>
      </c>
      <c r="J16" s="83">
        <v>353.33</v>
      </c>
      <c r="K16" s="120">
        <v>100</v>
      </c>
      <c r="L16" s="75">
        <v>0</v>
      </c>
      <c r="M16" s="120">
        <v>250</v>
      </c>
      <c r="N16" s="75">
        <v>0</v>
      </c>
      <c r="O16" s="86">
        <v>250</v>
      </c>
    </row>
    <row r="17" spans="1:15" x14ac:dyDescent="0.25">
      <c r="A17" s="4" t="s">
        <v>282</v>
      </c>
      <c r="B17" s="4" t="s">
        <v>190</v>
      </c>
      <c r="C17" s="82">
        <v>500</v>
      </c>
      <c r="D17" s="83">
        <v>1702</v>
      </c>
      <c r="E17" s="82">
        <v>500</v>
      </c>
      <c r="F17" s="83">
        <v>0</v>
      </c>
      <c r="G17" s="82">
        <v>500</v>
      </c>
      <c r="H17" s="83">
        <v>0</v>
      </c>
      <c r="I17" s="82">
        <v>500</v>
      </c>
      <c r="J17" s="83">
        <v>0</v>
      </c>
      <c r="K17" s="120">
        <v>500</v>
      </c>
      <c r="L17" s="75">
        <v>93.03</v>
      </c>
      <c r="M17" s="120">
        <v>1000</v>
      </c>
      <c r="N17" s="75">
        <v>263.77</v>
      </c>
      <c r="O17" s="86">
        <v>1000</v>
      </c>
    </row>
    <row r="18" spans="1:15" x14ac:dyDescent="0.25">
      <c r="A18" s="4" t="s">
        <v>283</v>
      </c>
      <c r="B18" s="4" t="s">
        <v>284</v>
      </c>
      <c r="C18" s="86">
        <v>3500</v>
      </c>
      <c r="D18" s="83">
        <v>640</v>
      </c>
      <c r="E18" s="86">
        <v>3500</v>
      </c>
      <c r="F18" s="83">
        <v>2959</v>
      </c>
      <c r="G18" s="86">
        <v>3500</v>
      </c>
      <c r="H18" s="83">
        <v>2344.44</v>
      </c>
      <c r="I18" s="86">
        <v>3500</v>
      </c>
      <c r="J18" s="75">
        <v>5190.34</v>
      </c>
      <c r="K18" s="120">
        <v>3500</v>
      </c>
      <c r="L18" s="75">
        <v>1616.88</v>
      </c>
      <c r="M18" s="120">
        <v>2000</v>
      </c>
      <c r="N18" s="75">
        <v>0</v>
      </c>
      <c r="O18" s="86">
        <v>1000</v>
      </c>
    </row>
    <row r="19" spans="1:15" x14ac:dyDescent="0.25">
      <c r="A19" s="4" t="s">
        <v>285</v>
      </c>
      <c r="B19" s="4" t="s">
        <v>81</v>
      </c>
      <c r="C19" s="86">
        <v>1800</v>
      </c>
      <c r="D19" s="83">
        <v>3594</v>
      </c>
      <c r="E19" s="86">
        <v>1800</v>
      </c>
      <c r="F19" s="83">
        <v>0</v>
      </c>
      <c r="G19" s="86">
        <v>0</v>
      </c>
      <c r="H19" s="83">
        <v>165</v>
      </c>
      <c r="I19" s="86">
        <v>0</v>
      </c>
      <c r="J19" s="75">
        <v>500</v>
      </c>
      <c r="K19" s="120">
        <v>0</v>
      </c>
      <c r="L19" s="75">
        <v>0</v>
      </c>
      <c r="M19" s="120">
        <v>0</v>
      </c>
      <c r="N19" s="75">
        <v>0</v>
      </c>
      <c r="O19" s="86">
        <v>0</v>
      </c>
    </row>
    <row r="20" spans="1:15" x14ac:dyDescent="0.25">
      <c r="A20" s="4" t="s">
        <v>286</v>
      </c>
      <c r="B20" s="4" t="s">
        <v>287</v>
      </c>
      <c r="C20" s="86"/>
      <c r="D20" s="83"/>
      <c r="E20" s="86"/>
      <c r="F20" s="83"/>
      <c r="G20" s="86">
        <v>1800</v>
      </c>
      <c r="H20" s="83">
        <v>0</v>
      </c>
      <c r="I20" s="86">
        <v>1800</v>
      </c>
      <c r="J20" s="75">
        <v>0</v>
      </c>
      <c r="K20" s="120">
        <v>1800</v>
      </c>
      <c r="L20" s="75">
        <v>0</v>
      </c>
      <c r="M20" s="120">
        <v>1800</v>
      </c>
      <c r="N20" s="75">
        <v>1000</v>
      </c>
      <c r="O20" s="86">
        <v>2000</v>
      </c>
    </row>
    <row r="21" spans="1:15" x14ac:dyDescent="0.25">
      <c r="A21" s="11" t="s">
        <v>82</v>
      </c>
      <c r="B21" s="11"/>
      <c r="C21" s="88">
        <f t="shared" ref="C21:O21" si="2">SUM(C10:C20)</f>
        <v>13600</v>
      </c>
      <c r="D21" s="89">
        <f t="shared" si="2"/>
        <v>19201</v>
      </c>
      <c r="E21" s="88">
        <f t="shared" si="2"/>
        <v>16150</v>
      </c>
      <c r="F21" s="89">
        <f t="shared" si="2"/>
        <v>9568</v>
      </c>
      <c r="G21" s="88">
        <f t="shared" si="2"/>
        <v>16873</v>
      </c>
      <c r="H21" s="89">
        <f t="shared" si="2"/>
        <v>11499.57</v>
      </c>
      <c r="I21" s="88">
        <f t="shared" si="2"/>
        <v>18000</v>
      </c>
      <c r="J21" s="89">
        <f t="shared" si="2"/>
        <v>15157.15</v>
      </c>
      <c r="K21" s="88">
        <f t="shared" si="2"/>
        <v>18000</v>
      </c>
      <c r="L21" s="89">
        <f t="shared" si="2"/>
        <v>4792.16</v>
      </c>
      <c r="M21" s="88">
        <f t="shared" si="2"/>
        <v>17992</v>
      </c>
      <c r="N21" s="89">
        <f t="shared" si="2"/>
        <v>7084.77</v>
      </c>
      <c r="O21" s="88">
        <f t="shared" si="2"/>
        <v>17650</v>
      </c>
    </row>
    <row r="22" spans="1:15" x14ac:dyDescent="0.25">
      <c r="A22" s="5" t="s">
        <v>9</v>
      </c>
      <c r="B22" s="11"/>
      <c r="C22" s="90">
        <f t="shared" ref="C22:O22" si="3">C9+C21</f>
        <v>33227</v>
      </c>
      <c r="D22" s="74">
        <f t="shared" si="3"/>
        <v>38981</v>
      </c>
      <c r="E22" s="90">
        <f t="shared" si="3"/>
        <v>36423</v>
      </c>
      <c r="F22" s="74">
        <f t="shared" si="3"/>
        <v>27517</v>
      </c>
      <c r="G22" s="90">
        <f t="shared" si="3"/>
        <v>37654</v>
      </c>
      <c r="H22" s="74">
        <f t="shared" si="3"/>
        <v>28715.71</v>
      </c>
      <c r="I22" s="90">
        <f t="shared" si="3"/>
        <v>39658</v>
      </c>
      <c r="J22" s="74">
        <f t="shared" si="3"/>
        <v>36078.47</v>
      </c>
      <c r="K22" s="90">
        <f t="shared" si="3"/>
        <v>39833</v>
      </c>
      <c r="L22" s="74">
        <f t="shared" si="3"/>
        <v>13625.66</v>
      </c>
      <c r="M22" s="90">
        <f t="shared" si="3"/>
        <v>40415</v>
      </c>
      <c r="N22" s="74">
        <f t="shared" si="3"/>
        <v>14246.85</v>
      </c>
      <c r="O22" s="90">
        <f t="shared" si="3"/>
        <v>33490.32</v>
      </c>
    </row>
  </sheetData>
  <mergeCells count="4">
    <mergeCell ref="A2:M2"/>
    <mergeCell ref="A3:M3"/>
    <mergeCell ref="K4:L4"/>
    <mergeCell ref="M4:N4"/>
  </mergeCells>
  <pageMargins left="0.7" right="0.7" top="0.75" bottom="0.75" header="0.3" footer="0.3"/>
  <pageSetup scale="81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A0D2-910F-4C27-A988-97D056C634A8}">
  <sheetPr>
    <tabColor theme="9" tint="0.39997558519241921"/>
  </sheetPr>
  <dimension ref="A1"/>
  <sheetViews>
    <sheetView workbookViewId="0">
      <selection activeCell="H37" sqref="H37"/>
    </sheetView>
  </sheetViews>
  <sheetFormatPr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D916-D80E-4F0B-AF19-AFAEC87D2CEF}">
  <sheetPr>
    <tabColor theme="9" tint="0.39997558519241921"/>
    <pageSetUpPr fitToPage="1"/>
  </sheetPr>
  <dimension ref="A1:M8"/>
  <sheetViews>
    <sheetView zoomScale="120" zoomScaleNormal="120" workbookViewId="0">
      <selection activeCell="D23" sqref="D23"/>
    </sheetView>
  </sheetViews>
  <sheetFormatPr defaultRowHeight="15" x14ac:dyDescent="0.25"/>
  <cols>
    <col min="1" max="1" width="24.140625" customWidth="1"/>
    <col min="2" max="2" width="24.7109375" customWidth="1"/>
  </cols>
  <sheetData>
    <row r="1" spans="1:13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</row>
    <row r="2" spans="1:13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</row>
    <row r="3" spans="1:13" x14ac:dyDescent="0.25">
      <c r="A3" s="1"/>
      <c r="B3" s="1"/>
      <c r="C3" s="1"/>
      <c r="D3" s="1"/>
      <c r="E3" s="1"/>
      <c r="F3" s="1"/>
      <c r="I3" s="1"/>
    </row>
    <row r="4" spans="1:13" x14ac:dyDescent="0.25">
      <c r="A4" s="5" t="s">
        <v>297</v>
      </c>
      <c r="B4" s="11"/>
      <c r="C4" s="437" t="s">
        <v>12</v>
      </c>
      <c r="D4" s="437"/>
      <c r="E4" s="437" t="s">
        <v>2</v>
      </c>
      <c r="F4" s="437"/>
      <c r="G4" s="454" t="s">
        <v>3</v>
      </c>
      <c r="H4" s="455"/>
      <c r="I4" s="442" t="s">
        <v>4</v>
      </c>
      <c r="J4" s="443"/>
      <c r="K4" s="442" t="s">
        <v>5</v>
      </c>
      <c r="L4" s="443"/>
      <c r="M4" s="10" t="s">
        <v>570</v>
      </c>
    </row>
    <row r="5" spans="1:13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  <c r="J5" s="72" t="s">
        <v>7</v>
      </c>
      <c r="K5" s="81" t="s">
        <v>6</v>
      </c>
      <c r="L5" s="72" t="s">
        <v>594</v>
      </c>
      <c r="M5" s="81" t="s">
        <v>6</v>
      </c>
    </row>
    <row r="6" spans="1:13" x14ac:dyDescent="0.25">
      <c r="A6" s="4" t="s">
        <v>298</v>
      </c>
      <c r="B6" s="4" t="s">
        <v>299</v>
      </c>
      <c r="C6" s="86">
        <v>1200</v>
      </c>
      <c r="D6" s="83">
        <v>115</v>
      </c>
      <c r="E6" s="86">
        <v>1200</v>
      </c>
      <c r="F6" s="83">
        <v>709.92</v>
      </c>
      <c r="G6" s="86">
        <v>1200</v>
      </c>
      <c r="H6" s="75">
        <v>1048.19</v>
      </c>
      <c r="I6" s="86">
        <v>1200</v>
      </c>
      <c r="J6" s="75">
        <v>771.82</v>
      </c>
      <c r="K6" s="86">
        <v>1200</v>
      </c>
      <c r="L6" s="75">
        <v>593.48</v>
      </c>
      <c r="M6" s="90">
        <v>1200</v>
      </c>
    </row>
    <row r="7" spans="1:13" x14ac:dyDescent="0.25">
      <c r="I7" s="1"/>
    </row>
    <row r="8" spans="1:13" x14ac:dyDescent="0.25">
      <c r="A8" t="s">
        <v>627</v>
      </c>
    </row>
  </sheetData>
  <mergeCells count="7">
    <mergeCell ref="K4:L4"/>
    <mergeCell ref="A1:I1"/>
    <mergeCell ref="A2:I2"/>
    <mergeCell ref="C4:D4"/>
    <mergeCell ref="E4:F4"/>
    <mergeCell ref="G4:H4"/>
    <mergeCell ref="I4:J4"/>
  </mergeCells>
  <pageMargins left="0.7" right="0.7" top="0.75" bottom="0.75" header="0.3" footer="0.3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B946-FFBB-4E34-9973-62A7AC5B4609}">
  <sheetPr>
    <tabColor theme="9" tint="0.39997558519241921"/>
    <pageSetUpPr fitToPage="1"/>
  </sheetPr>
  <dimension ref="A1:P6"/>
  <sheetViews>
    <sheetView zoomScale="120" zoomScaleNormal="120" workbookViewId="0">
      <selection activeCell="I22" sqref="I22"/>
    </sheetView>
  </sheetViews>
  <sheetFormatPr defaultRowHeight="15" x14ac:dyDescent="0.25"/>
  <cols>
    <col min="1" max="1" width="24.85546875" customWidth="1"/>
    <col min="2" max="14" width="9.85546875" customWidth="1"/>
  </cols>
  <sheetData>
    <row r="1" spans="1:16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</row>
    <row r="2" spans="1:16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</row>
    <row r="4" spans="1:16" s="3" customFormat="1" x14ac:dyDescent="0.25">
      <c r="A4" s="2" t="s">
        <v>60</v>
      </c>
      <c r="B4" s="437" t="s">
        <v>35</v>
      </c>
      <c r="C4" s="437"/>
      <c r="D4" s="437" t="s">
        <v>36</v>
      </c>
      <c r="E4" s="437"/>
      <c r="F4" s="437" t="s">
        <v>12</v>
      </c>
      <c r="G4" s="437"/>
      <c r="H4" s="437" t="s">
        <v>2</v>
      </c>
      <c r="I4" s="437"/>
      <c r="J4" s="437" t="s">
        <v>3</v>
      </c>
      <c r="K4" s="437"/>
      <c r="L4" s="437" t="s">
        <v>4</v>
      </c>
      <c r="M4" s="437"/>
      <c r="N4" s="437" t="s">
        <v>5</v>
      </c>
      <c r="O4" s="437"/>
      <c r="P4" s="11" t="s">
        <v>570</v>
      </c>
    </row>
    <row r="5" spans="1:16" x14ac:dyDescent="0.25">
      <c r="A5" s="4"/>
      <c r="B5" s="81" t="s">
        <v>6</v>
      </c>
      <c r="C5" s="72" t="s">
        <v>7</v>
      </c>
      <c r="D5" s="81" t="s">
        <v>6</v>
      </c>
      <c r="E5" s="72" t="s">
        <v>7</v>
      </c>
      <c r="F5" s="81" t="s">
        <v>6</v>
      </c>
      <c r="G5" s="72" t="s">
        <v>7</v>
      </c>
      <c r="H5" s="81" t="s">
        <v>6</v>
      </c>
      <c r="I5" s="72" t="s">
        <v>7</v>
      </c>
      <c r="J5" s="81" t="s">
        <v>6</v>
      </c>
      <c r="K5" s="72" t="s">
        <v>7</v>
      </c>
      <c r="L5" s="81" t="s">
        <v>6</v>
      </c>
      <c r="M5" s="72" t="s">
        <v>7</v>
      </c>
      <c r="N5" s="81" t="s">
        <v>6</v>
      </c>
      <c r="O5" s="72" t="s">
        <v>7</v>
      </c>
      <c r="P5" s="81" t="s">
        <v>606</v>
      </c>
    </row>
    <row r="6" spans="1:16" x14ac:dyDescent="0.25">
      <c r="A6" s="4" t="s">
        <v>61</v>
      </c>
      <c r="B6" s="82">
        <v>27740</v>
      </c>
      <c r="C6" s="83">
        <v>0</v>
      </c>
      <c r="D6" s="120">
        <v>40000</v>
      </c>
      <c r="E6" s="83">
        <v>0</v>
      </c>
      <c r="F6" s="120">
        <v>40000</v>
      </c>
      <c r="G6" s="83">
        <v>30924</v>
      </c>
      <c r="H6" s="120">
        <v>40000</v>
      </c>
      <c r="I6" s="119">
        <v>39743</v>
      </c>
      <c r="J6" s="120">
        <v>40000</v>
      </c>
      <c r="K6" s="119">
        <v>33826.699999999997</v>
      </c>
      <c r="L6" s="120">
        <v>40000</v>
      </c>
      <c r="M6" s="76">
        <v>4445</v>
      </c>
      <c r="N6" s="120">
        <v>40000</v>
      </c>
      <c r="O6" s="76">
        <v>1559</v>
      </c>
      <c r="P6" s="209">
        <v>40000</v>
      </c>
    </row>
  </sheetData>
  <mergeCells count="9">
    <mergeCell ref="N4:O4"/>
    <mergeCell ref="A1:L1"/>
    <mergeCell ref="A2:L2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scale="71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64C1-110E-432D-8969-6C98BC29F36C}">
  <sheetPr>
    <tabColor theme="9" tint="0.39997558519241921"/>
    <pageSetUpPr fitToPage="1"/>
  </sheetPr>
  <dimension ref="A1:K13"/>
  <sheetViews>
    <sheetView zoomScale="150" zoomScaleNormal="150" workbookViewId="0">
      <selection activeCell="D16" sqref="D16"/>
    </sheetView>
  </sheetViews>
  <sheetFormatPr defaultColWidth="9.140625" defaultRowHeight="15" x14ac:dyDescent="0.25"/>
  <cols>
    <col min="1" max="1" width="23.28515625" style="1" customWidth="1"/>
    <col min="2" max="2" width="15.85546875" style="1" customWidth="1"/>
    <col min="3" max="8" width="9.140625" style="1"/>
    <col min="9" max="11" width="9.42578125" style="1" customWidth="1"/>
    <col min="12" max="16384" width="9.140625" style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</row>
    <row r="4" spans="1:11" x14ac:dyDescent="0.25">
      <c r="A4" s="5" t="s">
        <v>300</v>
      </c>
      <c r="B4" s="5"/>
      <c r="C4" s="437" t="s">
        <v>2</v>
      </c>
      <c r="D4" s="437"/>
      <c r="E4" s="457" t="s">
        <v>3</v>
      </c>
      <c r="F4" s="458"/>
      <c r="G4" s="442" t="s">
        <v>4</v>
      </c>
      <c r="H4" s="443"/>
      <c r="I4" s="442" t="s">
        <v>5</v>
      </c>
      <c r="J4" s="443"/>
      <c r="K4" s="11" t="s">
        <v>570</v>
      </c>
    </row>
    <row r="5" spans="1:1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  <c r="J5" s="72" t="s">
        <v>7</v>
      </c>
      <c r="K5" s="81" t="s">
        <v>606</v>
      </c>
    </row>
    <row r="6" spans="1:11" x14ac:dyDescent="0.25">
      <c r="A6" s="4" t="s">
        <v>301</v>
      </c>
      <c r="B6" s="4" t="s">
        <v>41</v>
      </c>
      <c r="C6" s="86">
        <v>0</v>
      </c>
      <c r="D6" s="75">
        <v>2058</v>
      </c>
      <c r="E6" s="86"/>
      <c r="F6" s="75"/>
      <c r="G6" s="84"/>
      <c r="H6" s="75">
        <v>-567</v>
      </c>
      <c r="I6" s="86"/>
      <c r="J6" s="75"/>
      <c r="K6" s="86"/>
    </row>
    <row r="7" spans="1:11" x14ac:dyDescent="0.25">
      <c r="A7" s="4" t="s">
        <v>302</v>
      </c>
      <c r="B7" s="4" t="s">
        <v>303</v>
      </c>
      <c r="C7" s="86">
        <v>8568</v>
      </c>
      <c r="D7" s="75">
        <v>2190</v>
      </c>
      <c r="E7" s="86">
        <v>6120</v>
      </c>
      <c r="F7" s="75">
        <v>4372.84</v>
      </c>
      <c r="G7" s="84">
        <v>6250</v>
      </c>
      <c r="H7" s="75">
        <v>4959.4799999999996</v>
      </c>
      <c r="I7" s="86">
        <v>6250</v>
      </c>
      <c r="J7" s="75"/>
      <c r="K7" s="86">
        <v>3780</v>
      </c>
    </row>
    <row r="8" spans="1:11" x14ac:dyDescent="0.25">
      <c r="A8" s="4" t="s">
        <v>304</v>
      </c>
      <c r="B8" s="4" t="s">
        <v>305</v>
      </c>
      <c r="C8" s="86">
        <v>3700</v>
      </c>
      <c r="D8" s="75">
        <v>3817.68</v>
      </c>
      <c r="E8" s="86">
        <v>4373</v>
      </c>
      <c r="F8" s="75">
        <v>0</v>
      </c>
      <c r="G8" s="84">
        <v>4960</v>
      </c>
      <c r="H8" s="75">
        <v>0</v>
      </c>
      <c r="I8" s="86">
        <v>4694.5</v>
      </c>
      <c r="J8" s="75"/>
      <c r="K8" s="86">
        <v>4894.41</v>
      </c>
    </row>
    <row r="9" spans="1:11" x14ac:dyDescent="0.25">
      <c r="A9" s="4" t="s">
        <v>306</v>
      </c>
      <c r="B9" s="4" t="s">
        <v>659</v>
      </c>
      <c r="C9" s="86">
        <v>250</v>
      </c>
      <c r="D9" s="75">
        <v>264.48</v>
      </c>
      <c r="E9" s="86">
        <v>250</v>
      </c>
      <c r="F9" s="75">
        <v>276.83999999999997</v>
      </c>
      <c r="G9" s="84">
        <v>275</v>
      </c>
      <c r="H9" s="75">
        <v>528.32000000000005</v>
      </c>
      <c r="I9" s="86">
        <v>300</v>
      </c>
      <c r="J9" s="75"/>
      <c r="K9" s="86">
        <v>800</v>
      </c>
    </row>
    <row r="10" spans="1:11" x14ac:dyDescent="0.25">
      <c r="A10" s="11" t="s">
        <v>9</v>
      </c>
      <c r="B10" s="11"/>
      <c r="C10" s="88">
        <f t="shared" ref="C10:K10" si="0">SUM(C6:C9)</f>
        <v>12518</v>
      </c>
      <c r="D10" s="89">
        <f t="shared" si="0"/>
        <v>8330.16</v>
      </c>
      <c r="E10" s="88">
        <f t="shared" si="0"/>
        <v>10743</v>
      </c>
      <c r="F10" s="89">
        <f t="shared" si="0"/>
        <v>4649.68</v>
      </c>
      <c r="G10" s="88">
        <f t="shared" si="0"/>
        <v>11485</v>
      </c>
      <c r="H10" s="89">
        <f t="shared" si="0"/>
        <v>4920.7999999999993</v>
      </c>
      <c r="I10" s="88">
        <f t="shared" si="0"/>
        <v>11244.5</v>
      </c>
      <c r="J10" s="89">
        <f t="shared" ref="J10" si="1">SUM(J6:J9)</f>
        <v>0</v>
      </c>
      <c r="K10" s="88">
        <f t="shared" si="0"/>
        <v>9474.41</v>
      </c>
    </row>
    <row r="12" spans="1:11" x14ac:dyDescent="0.25">
      <c r="A12" s="59" t="s">
        <v>660</v>
      </c>
    </row>
    <row r="13" spans="1:11" x14ac:dyDescent="0.25">
      <c r="A13" s="59" t="s">
        <v>661</v>
      </c>
    </row>
  </sheetData>
  <mergeCells count="6">
    <mergeCell ref="A1:G1"/>
    <mergeCell ref="A2:G2"/>
    <mergeCell ref="C4:D4"/>
    <mergeCell ref="E4:F4"/>
    <mergeCell ref="I4:J4"/>
    <mergeCell ref="G4:H4"/>
  </mergeCells>
  <pageMargins left="0.7" right="0.7" top="0.75" bottom="0.75" header="0.3" footer="0.3"/>
  <pageSetup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8B477-17F4-434F-8181-881D4265E899}">
  <sheetPr>
    <tabColor theme="9" tint="0.39997558519241921"/>
    <pageSetUpPr fitToPage="1"/>
  </sheetPr>
  <dimension ref="A1:K10"/>
  <sheetViews>
    <sheetView zoomScale="130" zoomScaleNormal="130" workbookViewId="0">
      <selection activeCell="K6" sqref="K6"/>
    </sheetView>
  </sheetViews>
  <sheetFormatPr defaultColWidth="9.140625" defaultRowHeight="15" x14ac:dyDescent="0.25"/>
  <cols>
    <col min="1" max="1" width="20.42578125" customWidth="1"/>
    <col min="2" max="2" width="22.7109375" customWidth="1"/>
    <col min="3" max="7" width="10.7109375" customWidth="1"/>
    <col min="9" max="9" width="11" customWidth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</row>
    <row r="3" spans="1:11" x14ac:dyDescent="0.25">
      <c r="A3" s="1"/>
      <c r="B3" s="1"/>
      <c r="C3" s="1"/>
      <c r="D3" s="1"/>
    </row>
    <row r="4" spans="1:11" s="3" customFormat="1" x14ac:dyDescent="0.25">
      <c r="A4" s="5" t="s">
        <v>405</v>
      </c>
      <c r="B4" s="11"/>
      <c r="C4" s="437" t="s">
        <v>2</v>
      </c>
      <c r="D4" s="437"/>
      <c r="E4" s="442" t="s">
        <v>3</v>
      </c>
      <c r="F4" s="443"/>
      <c r="G4" s="442" t="s">
        <v>4</v>
      </c>
      <c r="H4" s="443"/>
      <c r="I4" s="442" t="s">
        <v>31</v>
      </c>
      <c r="J4" s="443"/>
      <c r="K4" s="10" t="s">
        <v>571</v>
      </c>
    </row>
    <row r="5" spans="1:1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  <c r="J5" s="72" t="s">
        <v>7</v>
      </c>
      <c r="K5" s="81" t="s">
        <v>606</v>
      </c>
    </row>
    <row r="6" spans="1:11" x14ac:dyDescent="0.25">
      <c r="A6" s="4" t="s">
        <v>406</v>
      </c>
      <c r="B6" s="4" t="s">
        <v>41</v>
      </c>
      <c r="C6" s="82">
        <v>2576</v>
      </c>
      <c r="D6" s="83">
        <v>2103.15</v>
      </c>
      <c r="E6" s="86">
        <v>2641</v>
      </c>
      <c r="F6" s="75">
        <v>1136.57</v>
      </c>
      <c r="G6" s="86">
        <v>2707</v>
      </c>
      <c r="H6" s="76">
        <v>2566</v>
      </c>
      <c r="I6" s="90">
        <v>2775</v>
      </c>
      <c r="J6" s="76"/>
      <c r="K6" s="90">
        <v>2845</v>
      </c>
    </row>
    <row r="7" spans="1:11" x14ac:dyDescent="0.25">
      <c r="A7" s="451"/>
      <c r="B7" s="452"/>
    </row>
    <row r="8" spans="1:11" x14ac:dyDescent="0.25">
      <c r="A8" s="252" t="s">
        <v>624</v>
      </c>
    </row>
    <row r="9" spans="1:11" x14ac:dyDescent="0.25">
      <c r="A9" s="60" t="s">
        <v>625</v>
      </c>
    </row>
    <row r="10" spans="1:11" x14ac:dyDescent="0.25">
      <c r="A10" s="60" t="s">
        <v>626</v>
      </c>
    </row>
  </sheetData>
  <mergeCells count="7">
    <mergeCell ref="I4:J4"/>
    <mergeCell ref="A7:B7"/>
    <mergeCell ref="A1:G1"/>
    <mergeCell ref="A2:G2"/>
    <mergeCell ref="C4:D4"/>
    <mergeCell ref="E4:F4"/>
    <mergeCell ref="G4:H4"/>
  </mergeCells>
  <pageMargins left="0.7" right="0.7" top="0.75" bottom="0.75" header="0.3" footer="0.3"/>
  <pageSetup scale="90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52F5-CE85-4B75-AAEB-8B9E37A1744D}">
  <sheetPr>
    <tabColor theme="9" tint="0.39997558519241921"/>
    <pageSetUpPr fitToPage="1"/>
  </sheetPr>
  <dimension ref="A1:K11"/>
  <sheetViews>
    <sheetView zoomScale="140" zoomScaleNormal="140" workbookViewId="0">
      <selection activeCell="H16" sqref="H16"/>
    </sheetView>
  </sheetViews>
  <sheetFormatPr defaultColWidth="9.140625" defaultRowHeight="15" x14ac:dyDescent="0.25"/>
  <cols>
    <col min="1" max="1" width="25.5703125" style="1" customWidth="1"/>
    <col min="2" max="2" width="17.140625" style="1" customWidth="1"/>
    <col min="3" max="9" width="9.7109375" style="1" customWidth="1"/>
    <col min="10" max="16384" width="9.140625" style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</row>
    <row r="4" spans="1:11" s="12" customFormat="1" ht="14.25" x14ac:dyDescent="0.2">
      <c r="A4" s="2" t="s">
        <v>643</v>
      </c>
      <c r="B4" s="11"/>
      <c r="C4" s="437" t="s">
        <v>2</v>
      </c>
      <c r="D4" s="437"/>
      <c r="E4" s="454" t="s">
        <v>3</v>
      </c>
      <c r="F4" s="455"/>
      <c r="G4" s="454" t="s">
        <v>4</v>
      </c>
      <c r="H4" s="455"/>
      <c r="I4" s="454" t="s">
        <v>5</v>
      </c>
      <c r="J4" s="455"/>
      <c r="K4" s="226" t="s">
        <v>570</v>
      </c>
    </row>
    <row r="5" spans="1:1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  <c r="J5" s="72" t="s">
        <v>594</v>
      </c>
      <c r="K5" s="81" t="s">
        <v>606</v>
      </c>
    </row>
    <row r="6" spans="1:11" x14ac:dyDescent="0.25">
      <c r="A6" s="4" t="s">
        <v>722</v>
      </c>
      <c r="B6" s="4" t="s">
        <v>723</v>
      </c>
      <c r="C6" s="81"/>
      <c r="D6" s="72"/>
      <c r="E6" s="81"/>
      <c r="F6" s="72"/>
      <c r="G6" s="81"/>
      <c r="H6" s="72"/>
      <c r="I6" s="81"/>
      <c r="J6" s="72"/>
      <c r="K6" s="82">
        <v>1000</v>
      </c>
    </row>
    <row r="7" spans="1:11" x14ac:dyDescent="0.25">
      <c r="A7" s="4" t="s">
        <v>308</v>
      </c>
      <c r="B7" s="4" t="s">
        <v>41</v>
      </c>
      <c r="C7" s="86">
        <v>8000</v>
      </c>
      <c r="D7" s="75">
        <v>4336.09</v>
      </c>
      <c r="E7" s="86">
        <v>8000</v>
      </c>
      <c r="F7" s="75">
        <v>2325.59</v>
      </c>
      <c r="G7" s="86">
        <v>8000</v>
      </c>
      <c r="H7" s="75">
        <v>6097.98</v>
      </c>
      <c r="I7" s="86">
        <v>8000</v>
      </c>
      <c r="J7" s="75">
        <v>2116.6999999999998</v>
      </c>
      <c r="K7" s="86">
        <v>7000</v>
      </c>
    </row>
    <row r="8" spans="1:11" s="12" customFormat="1" ht="14.25" x14ac:dyDescent="0.2">
      <c r="A8" s="11" t="s">
        <v>9</v>
      </c>
      <c r="B8" s="162"/>
      <c r="C8" s="88">
        <f>SUM(C6:C7)</f>
        <v>8000</v>
      </c>
      <c r="D8" s="88">
        <f t="shared" ref="D8:K8" si="0">SUM(D6:D7)</f>
        <v>4336.09</v>
      </c>
      <c r="E8" s="88">
        <f t="shared" si="0"/>
        <v>8000</v>
      </c>
      <c r="F8" s="88">
        <f t="shared" si="0"/>
        <v>2325.59</v>
      </c>
      <c r="G8" s="88">
        <f t="shared" si="0"/>
        <v>8000</v>
      </c>
      <c r="H8" s="88">
        <f t="shared" si="0"/>
        <v>6097.98</v>
      </c>
      <c r="I8" s="88">
        <f t="shared" si="0"/>
        <v>8000</v>
      </c>
      <c r="J8" s="88">
        <f t="shared" si="0"/>
        <v>2116.6999999999998</v>
      </c>
      <c r="K8" s="88">
        <f t="shared" si="0"/>
        <v>8000</v>
      </c>
    </row>
    <row r="10" spans="1:11" x14ac:dyDescent="0.25">
      <c r="A10" s="59" t="s">
        <v>627</v>
      </c>
    </row>
    <row r="11" spans="1:11" x14ac:dyDescent="0.25">
      <c r="A11" s="59" t="s">
        <v>595</v>
      </c>
      <c r="B11" s="56">
        <v>7789</v>
      </c>
    </row>
  </sheetData>
  <mergeCells count="6">
    <mergeCell ref="I4:J4"/>
    <mergeCell ref="A1:G1"/>
    <mergeCell ref="A2:G2"/>
    <mergeCell ref="C4:D4"/>
    <mergeCell ref="E4:F4"/>
    <mergeCell ref="G4:H4"/>
  </mergeCells>
  <pageMargins left="0.7" right="0.7" top="0.75" bottom="0.75" header="0.3" footer="0.3"/>
  <pageSetup scale="94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CCB-D194-489E-8955-7EB6130D136E}">
  <sheetPr>
    <tabColor theme="9" tint="0.39997558519241921"/>
  </sheetPr>
  <dimension ref="A1:H12"/>
  <sheetViews>
    <sheetView zoomScale="140" zoomScaleNormal="140" workbookViewId="0">
      <selection activeCell="D8" sqref="D8"/>
    </sheetView>
  </sheetViews>
  <sheetFormatPr defaultColWidth="9.140625" defaultRowHeight="15" x14ac:dyDescent="0.25"/>
  <cols>
    <col min="1" max="1" width="36" style="1" customWidth="1"/>
    <col min="2" max="2" width="12.140625" style="1" customWidth="1"/>
    <col min="3" max="4" width="11.7109375" style="1" customWidth="1"/>
    <col min="5" max="16384" width="9.140625" style="1"/>
  </cols>
  <sheetData>
    <row r="1" spans="1:8" x14ac:dyDescent="0.25">
      <c r="A1" s="438" t="s">
        <v>0</v>
      </c>
      <c r="B1" s="438"/>
      <c r="C1" s="438"/>
      <c r="D1" s="438"/>
      <c r="E1" s="438"/>
      <c r="F1" s="438"/>
      <c r="G1" s="438"/>
      <c r="H1" s="438"/>
    </row>
    <row r="2" spans="1:8" x14ac:dyDescent="0.25">
      <c r="A2" s="438" t="s">
        <v>568</v>
      </c>
      <c r="B2" s="438"/>
      <c r="C2" s="438"/>
      <c r="D2" s="438"/>
      <c r="E2" s="438"/>
      <c r="F2" s="438"/>
      <c r="G2" s="438"/>
      <c r="H2" s="438"/>
    </row>
    <row r="4" spans="1:8" x14ac:dyDescent="0.25">
      <c r="A4" s="2" t="s">
        <v>493</v>
      </c>
      <c r="B4" s="454" t="s">
        <v>5</v>
      </c>
      <c r="C4" s="455"/>
      <c r="D4" s="226" t="s">
        <v>570</v>
      </c>
    </row>
    <row r="5" spans="1:8" x14ac:dyDescent="0.25">
      <c r="A5" s="4"/>
      <c r="B5" s="241" t="s">
        <v>6</v>
      </c>
      <c r="C5" s="135" t="s">
        <v>7</v>
      </c>
      <c r="D5" s="81" t="s">
        <v>606</v>
      </c>
    </row>
    <row r="6" spans="1:8" x14ac:dyDescent="0.25">
      <c r="A6" s="4" t="s">
        <v>494</v>
      </c>
      <c r="B6" s="86"/>
      <c r="C6" s="135"/>
      <c r="D6" s="86"/>
    </row>
    <row r="7" spans="1:8" x14ac:dyDescent="0.25">
      <c r="A7" s="11" t="s">
        <v>9</v>
      </c>
      <c r="B7" s="88">
        <v>400</v>
      </c>
      <c r="C7" s="135"/>
      <c r="D7" s="88">
        <v>400</v>
      </c>
    </row>
    <row r="12" spans="1:8" x14ac:dyDescent="0.25">
      <c r="A12" s="240"/>
    </row>
  </sheetData>
  <mergeCells count="3">
    <mergeCell ref="A1:H1"/>
    <mergeCell ref="A2:H2"/>
    <mergeCell ref="B4:C4"/>
  </mergeCells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1FE28-C21B-490F-92FF-2CD5D10FA830}">
  <sheetPr>
    <tabColor theme="9" tint="0.39997558519241921"/>
  </sheetPr>
  <dimension ref="A1:H34"/>
  <sheetViews>
    <sheetView zoomScale="110" zoomScaleNormal="110" workbookViewId="0">
      <selection activeCell="A13" sqref="A13"/>
    </sheetView>
  </sheetViews>
  <sheetFormatPr defaultColWidth="9.140625" defaultRowHeight="15" x14ac:dyDescent="0.25"/>
  <cols>
    <col min="1" max="1" width="25.5703125" style="1" customWidth="1"/>
    <col min="2" max="2" width="15.7109375" style="1" bestFit="1" customWidth="1"/>
    <col min="3" max="3" width="11.7109375" style="1" customWidth="1"/>
    <col min="4" max="4" width="12.140625" style="1" customWidth="1"/>
    <col min="5" max="6" width="12.28515625" style="20" customWidth="1"/>
    <col min="7" max="8" width="11.85546875" style="1" customWidth="1"/>
    <col min="9" max="16384" width="9.140625" style="1"/>
  </cols>
  <sheetData>
    <row r="1" spans="1:8" x14ac:dyDescent="0.25">
      <c r="A1" s="438" t="s">
        <v>0</v>
      </c>
      <c r="B1" s="438"/>
      <c r="C1" s="438"/>
      <c r="D1" s="438"/>
    </row>
    <row r="2" spans="1:8" x14ac:dyDescent="0.25">
      <c r="A2" s="438" t="s">
        <v>596</v>
      </c>
      <c r="B2" s="438"/>
      <c r="C2" s="438"/>
      <c r="D2" s="438"/>
    </row>
    <row r="4" spans="1:8" s="12" customFormat="1" ht="14.25" x14ac:dyDescent="0.2">
      <c r="A4" s="21" t="s">
        <v>17</v>
      </c>
      <c r="B4" s="22"/>
      <c r="C4" s="8" t="s">
        <v>18</v>
      </c>
      <c r="D4" s="9" t="s">
        <v>4</v>
      </c>
      <c r="E4" s="10" t="s">
        <v>4</v>
      </c>
      <c r="F4" s="437" t="s">
        <v>5</v>
      </c>
      <c r="G4" s="437"/>
      <c r="H4" s="10" t="s">
        <v>570</v>
      </c>
    </row>
    <row r="5" spans="1:8" x14ac:dyDescent="0.25">
      <c r="A5" s="13"/>
      <c r="B5" s="23"/>
      <c r="C5" s="244" t="s">
        <v>6</v>
      </c>
      <c r="D5" s="163" t="s">
        <v>8</v>
      </c>
      <c r="E5" s="242" t="s">
        <v>7</v>
      </c>
      <c r="F5" s="81" t="s">
        <v>6</v>
      </c>
      <c r="G5" s="242" t="s">
        <v>597</v>
      </c>
      <c r="H5" s="81" t="s">
        <v>606</v>
      </c>
    </row>
    <row r="6" spans="1:8" x14ac:dyDescent="0.25">
      <c r="A6" s="13" t="s">
        <v>19</v>
      </c>
      <c r="B6" s="23" t="s">
        <v>20</v>
      </c>
      <c r="C6" s="245">
        <v>0</v>
      </c>
      <c r="D6" s="164">
        <v>500</v>
      </c>
      <c r="E6" s="243">
        <v>408.14</v>
      </c>
      <c r="F6" s="82">
        <v>500</v>
      </c>
      <c r="G6" s="243">
        <v>179.7</v>
      </c>
      <c r="H6" s="82">
        <v>500</v>
      </c>
    </row>
    <row r="7" spans="1:8" x14ac:dyDescent="0.25">
      <c r="A7" s="13" t="s">
        <v>21</v>
      </c>
      <c r="B7" s="23" t="s">
        <v>22</v>
      </c>
      <c r="C7" s="245">
        <v>0</v>
      </c>
      <c r="D7" s="164">
        <v>3000</v>
      </c>
      <c r="E7" s="243">
        <v>2277.54</v>
      </c>
      <c r="F7" s="82">
        <v>3000</v>
      </c>
      <c r="G7" s="243">
        <v>2500</v>
      </c>
      <c r="H7" s="82">
        <v>3000</v>
      </c>
    </row>
    <row r="8" spans="1:8" x14ac:dyDescent="0.25">
      <c r="A8" s="13" t="s">
        <v>23</v>
      </c>
      <c r="B8" s="23" t="s">
        <v>24</v>
      </c>
      <c r="C8" s="245">
        <v>0</v>
      </c>
      <c r="D8" s="164">
        <v>2500</v>
      </c>
      <c r="E8" s="243">
        <f>1368.45+1798.9</f>
        <v>3167.3500000000004</v>
      </c>
      <c r="F8" s="82">
        <v>2500</v>
      </c>
      <c r="G8" s="243">
        <v>1977.73</v>
      </c>
      <c r="H8" s="82">
        <v>2500</v>
      </c>
    </row>
    <row r="9" spans="1:8" x14ac:dyDescent="0.25">
      <c r="A9" s="18"/>
      <c r="B9" s="26" t="s">
        <v>9</v>
      </c>
      <c r="C9" s="221">
        <f t="shared" ref="C9:D9" si="0">SUM(C6:C8)</f>
        <v>0</v>
      </c>
      <c r="D9" s="165">
        <f t="shared" si="0"/>
        <v>6000</v>
      </c>
      <c r="E9" s="246">
        <f t="shared" ref="E9:G9" si="1">SUM(E6:E8)</f>
        <v>5853.0300000000007</v>
      </c>
      <c r="F9" s="88">
        <f t="shared" ref="F9" si="2">SUM(F6:F8)</f>
        <v>6000</v>
      </c>
      <c r="G9" s="246">
        <f t="shared" si="1"/>
        <v>4657.43</v>
      </c>
      <c r="H9" s="88">
        <f t="shared" ref="H9" si="3">SUM(H6:H8)</f>
        <v>6000</v>
      </c>
    </row>
    <row r="10" spans="1:8" x14ac:dyDescent="0.25">
      <c r="A10" s="27" t="s">
        <v>25</v>
      </c>
      <c r="B10" s="28"/>
      <c r="E10" s="29"/>
    </row>
    <row r="11" spans="1:8" x14ac:dyDescent="0.25">
      <c r="A11" s="27" t="s">
        <v>26</v>
      </c>
      <c r="D11" s="30"/>
    </row>
    <row r="12" spans="1:8" x14ac:dyDescent="0.25">
      <c r="A12" s="27" t="s">
        <v>668</v>
      </c>
      <c r="C12" s="30"/>
      <c r="D12" s="30"/>
    </row>
    <row r="13" spans="1:8" x14ac:dyDescent="0.25">
      <c r="E13" s="31"/>
      <c r="F13" s="29"/>
    </row>
    <row r="14" spans="1:8" x14ac:dyDescent="0.25">
      <c r="E14" s="31"/>
      <c r="F14" s="29"/>
    </row>
    <row r="15" spans="1:8" x14ac:dyDescent="0.25">
      <c r="E15" s="32"/>
      <c r="F15" s="29"/>
    </row>
    <row r="16" spans="1:8" x14ac:dyDescent="0.25">
      <c r="E16" s="31"/>
      <c r="F16" s="29"/>
    </row>
    <row r="32" spans="1:4" x14ac:dyDescent="0.25">
      <c r="A32" s="25"/>
      <c r="D32" s="30"/>
    </row>
    <row r="33" spans="1:1" x14ac:dyDescent="0.25">
      <c r="A33" s="25"/>
    </row>
    <row r="34" spans="1:1" x14ac:dyDescent="0.25">
      <c r="A34" s="27"/>
    </row>
  </sheetData>
  <mergeCells count="3">
    <mergeCell ref="A1:D1"/>
    <mergeCell ref="A2:D2"/>
    <mergeCell ref="F4:G4"/>
  </mergeCells>
  <pageMargins left="0.7" right="0.7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CF07-F2BF-460F-8CD4-7BBB73377749}">
  <sheetPr>
    <tabColor theme="9" tint="0.39997558519241921"/>
    <pageSetUpPr fitToPage="1"/>
  </sheetPr>
  <dimension ref="A1:K7"/>
  <sheetViews>
    <sheetView zoomScale="130" zoomScaleNormal="130" workbookViewId="0">
      <selection activeCell="E16" sqref="E16"/>
    </sheetView>
  </sheetViews>
  <sheetFormatPr defaultColWidth="9.140625" defaultRowHeight="15" x14ac:dyDescent="0.25"/>
  <cols>
    <col min="1" max="1" width="22.7109375" style="1" customWidth="1"/>
    <col min="2" max="2" width="9.28515625" style="1" customWidth="1"/>
    <col min="3" max="4" width="9.140625" style="1"/>
    <col min="5" max="6" width="10.42578125" style="1" customWidth="1"/>
    <col min="7" max="16384" width="9.140625" style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  <c r="H1" s="46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  <c r="H2" s="46"/>
    </row>
    <row r="4" spans="1:11" s="12" customFormat="1" ht="14.25" x14ac:dyDescent="0.2">
      <c r="A4" s="5" t="s">
        <v>350</v>
      </c>
      <c r="B4" s="11"/>
      <c r="C4" s="456" t="s">
        <v>2</v>
      </c>
      <c r="D4" s="456"/>
      <c r="E4" s="442" t="s">
        <v>3</v>
      </c>
      <c r="F4" s="443"/>
      <c r="G4" s="454" t="s">
        <v>4</v>
      </c>
      <c r="H4" s="455"/>
      <c r="I4" s="456" t="s">
        <v>5</v>
      </c>
      <c r="J4" s="456"/>
      <c r="K4" s="226" t="s">
        <v>570</v>
      </c>
    </row>
    <row r="5" spans="1:1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  <c r="J5" s="72" t="s">
        <v>7</v>
      </c>
      <c r="K5" s="81" t="s">
        <v>606</v>
      </c>
    </row>
    <row r="6" spans="1:11" x14ac:dyDescent="0.25">
      <c r="A6" s="4" t="s">
        <v>351</v>
      </c>
      <c r="B6" s="4" t="s">
        <v>340</v>
      </c>
      <c r="C6" s="82">
        <v>400</v>
      </c>
      <c r="D6" s="83">
        <v>323.2</v>
      </c>
      <c r="E6" s="82">
        <v>400</v>
      </c>
      <c r="F6" s="83">
        <v>398.24</v>
      </c>
      <c r="G6" s="86">
        <v>400</v>
      </c>
      <c r="H6" s="75">
        <v>362.02</v>
      </c>
      <c r="I6" s="86">
        <v>400</v>
      </c>
      <c r="J6" s="75"/>
      <c r="K6" s="86">
        <v>400</v>
      </c>
    </row>
    <row r="7" spans="1:11" x14ac:dyDescent="0.25">
      <c r="A7" s="11" t="s">
        <v>9</v>
      </c>
      <c r="B7" s="11"/>
      <c r="C7" s="82">
        <f t="shared" ref="C7:I7" si="0">SUM(C6:C6)</f>
        <v>400</v>
      </c>
      <c r="D7" s="83">
        <f t="shared" si="0"/>
        <v>323.2</v>
      </c>
      <c r="E7" s="82">
        <f t="shared" si="0"/>
        <v>400</v>
      </c>
      <c r="F7" s="83">
        <f t="shared" si="0"/>
        <v>398.24</v>
      </c>
      <c r="G7" s="82">
        <f t="shared" si="0"/>
        <v>400</v>
      </c>
      <c r="H7" s="83">
        <f t="shared" si="0"/>
        <v>362.02</v>
      </c>
      <c r="I7" s="82">
        <f t="shared" si="0"/>
        <v>400</v>
      </c>
      <c r="J7" s="83">
        <f t="shared" ref="J7" si="1">SUM(J6:J6)</f>
        <v>0</v>
      </c>
      <c r="K7" s="88">
        <v>400</v>
      </c>
    </row>
  </sheetData>
  <mergeCells count="6">
    <mergeCell ref="I4:J4"/>
    <mergeCell ref="A1:G1"/>
    <mergeCell ref="A2:G2"/>
    <mergeCell ref="C4:D4"/>
    <mergeCell ref="E4:F4"/>
    <mergeCell ref="G4:H4"/>
  </mergeCells>
  <pageMargins left="0.7" right="0.7" top="0.75" bottom="0.75" header="0.3" footer="0.3"/>
  <pageSetup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CCB2-2D43-42DC-8646-6783FCDFDC69}">
  <sheetPr>
    <tabColor theme="9" tint="0.39997558519241921"/>
  </sheetPr>
  <dimension ref="A1:K191"/>
  <sheetViews>
    <sheetView workbookViewId="0">
      <selection activeCell="B32" sqref="B32"/>
    </sheetView>
  </sheetViews>
  <sheetFormatPr defaultRowHeight="15" x14ac:dyDescent="0.25"/>
  <cols>
    <col min="1" max="1" width="24" style="1" customWidth="1"/>
    <col min="2" max="2" width="29.7109375" style="1" customWidth="1"/>
    <col min="3" max="8" width="10.28515625" style="1" customWidth="1"/>
    <col min="9" max="9" width="11.28515625" style="1" bestFit="1" customWidth="1"/>
    <col min="10" max="10" width="10.140625" style="1" customWidth="1"/>
    <col min="11" max="11" width="12.42578125" style="178" bestFit="1" customWidth="1"/>
    <col min="12" max="15" width="10.5703125" style="1" customWidth="1"/>
    <col min="16" max="255" width="9.140625" style="1"/>
    <col min="256" max="256" width="24" style="1" customWidth="1"/>
    <col min="257" max="257" width="29.7109375" style="1" customWidth="1"/>
    <col min="258" max="265" width="10.28515625" style="1" customWidth="1"/>
    <col min="266" max="267" width="10.140625" style="1" bestFit="1" customWidth="1"/>
    <col min="268" max="268" width="10.5703125" style="1" customWidth="1"/>
    <col min="269" max="511" width="9.140625" style="1"/>
    <col min="512" max="512" width="24" style="1" customWidth="1"/>
    <col min="513" max="513" width="29.7109375" style="1" customWidth="1"/>
    <col min="514" max="521" width="10.28515625" style="1" customWidth="1"/>
    <col min="522" max="523" width="10.140625" style="1" bestFit="1" customWidth="1"/>
    <col min="524" max="524" width="10.5703125" style="1" customWidth="1"/>
    <col min="525" max="767" width="9.140625" style="1"/>
    <col min="768" max="768" width="24" style="1" customWidth="1"/>
    <col min="769" max="769" width="29.7109375" style="1" customWidth="1"/>
    <col min="770" max="777" width="10.28515625" style="1" customWidth="1"/>
    <col min="778" max="779" width="10.140625" style="1" bestFit="1" customWidth="1"/>
    <col min="780" max="780" width="10.5703125" style="1" customWidth="1"/>
    <col min="781" max="1023" width="9.140625" style="1"/>
    <col min="1024" max="1024" width="24" style="1" customWidth="1"/>
    <col min="1025" max="1025" width="29.7109375" style="1" customWidth="1"/>
    <col min="1026" max="1033" width="10.28515625" style="1" customWidth="1"/>
    <col min="1034" max="1035" width="10.140625" style="1" bestFit="1" customWidth="1"/>
    <col min="1036" max="1036" width="10.5703125" style="1" customWidth="1"/>
    <col min="1037" max="1279" width="9.140625" style="1"/>
    <col min="1280" max="1280" width="24" style="1" customWidth="1"/>
    <col min="1281" max="1281" width="29.7109375" style="1" customWidth="1"/>
    <col min="1282" max="1289" width="10.28515625" style="1" customWidth="1"/>
    <col min="1290" max="1291" width="10.140625" style="1" bestFit="1" customWidth="1"/>
    <col min="1292" max="1292" width="10.5703125" style="1" customWidth="1"/>
    <col min="1293" max="1535" width="9.140625" style="1"/>
    <col min="1536" max="1536" width="24" style="1" customWidth="1"/>
    <col min="1537" max="1537" width="29.7109375" style="1" customWidth="1"/>
    <col min="1538" max="1545" width="10.28515625" style="1" customWidth="1"/>
    <col min="1546" max="1547" width="10.140625" style="1" bestFit="1" customWidth="1"/>
    <col min="1548" max="1548" width="10.5703125" style="1" customWidth="1"/>
    <col min="1549" max="1791" width="9.140625" style="1"/>
    <col min="1792" max="1792" width="24" style="1" customWidth="1"/>
    <col min="1793" max="1793" width="29.7109375" style="1" customWidth="1"/>
    <col min="1794" max="1801" width="10.28515625" style="1" customWidth="1"/>
    <col min="1802" max="1803" width="10.140625" style="1" bestFit="1" customWidth="1"/>
    <col min="1804" max="1804" width="10.5703125" style="1" customWidth="1"/>
    <col min="1805" max="2047" width="9.140625" style="1"/>
    <col min="2048" max="2048" width="24" style="1" customWidth="1"/>
    <col min="2049" max="2049" width="29.7109375" style="1" customWidth="1"/>
    <col min="2050" max="2057" width="10.28515625" style="1" customWidth="1"/>
    <col min="2058" max="2059" width="10.140625" style="1" bestFit="1" customWidth="1"/>
    <col min="2060" max="2060" width="10.5703125" style="1" customWidth="1"/>
    <col min="2061" max="2303" width="9.140625" style="1"/>
    <col min="2304" max="2304" width="24" style="1" customWidth="1"/>
    <col min="2305" max="2305" width="29.7109375" style="1" customWidth="1"/>
    <col min="2306" max="2313" width="10.28515625" style="1" customWidth="1"/>
    <col min="2314" max="2315" width="10.140625" style="1" bestFit="1" customWidth="1"/>
    <col min="2316" max="2316" width="10.5703125" style="1" customWidth="1"/>
    <col min="2317" max="2559" width="9.140625" style="1"/>
    <col min="2560" max="2560" width="24" style="1" customWidth="1"/>
    <col min="2561" max="2561" width="29.7109375" style="1" customWidth="1"/>
    <col min="2562" max="2569" width="10.28515625" style="1" customWidth="1"/>
    <col min="2570" max="2571" width="10.140625" style="1" bestFit="1" customWidth="1"/>
    <col min="2572" max="2572" width="10.5703125" style="1" customWidth="1"/>
    <col min="2573" max="2815" width="9.140625" style="1"/>
    <col min="2816" max="2816" width="24" style="1" customWidth="1"/>
    <col min="2817" max="2817" width="29.7109375" style="1" customWidth="1"/>
    <col min="2818" max="2825" width="10.28515625" style="1" customWidth="1"/>
    <col min="2826" max="2827" width="10.140625" style="1" bestFit="1" customWidth="1"/>
    <col min="2828" max="2828" width="10.5703125" style="1" customWidth="1"/>
    <col min="2829" max="3071" width="9.140625" style="1"/>
    <col min="3072" max="3072" width="24" style="1" customWidth="1"/>
    <col min="3073" max="3073" width="29.7109375" style="1" customWidth="1"/>
    <col min="3074" max="3081" width="10.28515625" style="1" customWidth="1"/>
    <col min="3082" max="3083" width="10.140625" style="1" bestFit="1" customWidth="1"/>
    <col min="3084" max="3084" width="10.5703125" style="1" customWidth="1"/>
    <col min="3085" max="3327" width="9.140625" style="1"/>
    <col min="3328" max="3328" width="24" style="1" customWidth="1"/>
    <col min="3329" max="3329" width="29.7109375" style="1" customWidth="1"/>
    <col min="3330" max="3337" width="10.28515625" style="1" customWidth="1"/>
    <col min="3338" max="3339" width="10.140625" style="1" bestFit="1" customWidth="1"/>
    <col min="3340" max="3340" width="10.5703125" style="1" customWidth="1"/>
    <col min="3341" max="3583" width="9.140625" style="1"/>
    <col min="3584" max="3584" width="24" style="1" customWidth="1"/>
    <col min="3585" max="3585" width="29.7109375" style="1" customWidth="1"/>
    <col min="3586" max="3593" width="10.28515625" style="1" customWidth="1"/>
    <col min="3594" max="3595" width="10.140625" style="1" bestFit="1" customWidth="1"/>
    <col min="3596" max="3596" width="10.5703125" style="1" customWidth="1"/>
    <col min="3597" max="3839" width="9.140625" style="1"/>
    <col min="3840" max="3840" width="24" style="1" customWidth="1"/>
    <col min="3841" max="3841" width="29.7109375" style="1" customWidth="1"/>
    <col min="3842" max="3849" width="10.28515625" style="1" customWidth="1"/>
    <col min="3850" max="3851" width="10.140625" style="1" bestFit="1" customWidth="1"/>
    <col min="3852" max="3852" width="10.5703125" style="1" customWidth="1"/>
    <col min="3853" max="4095" width="9.140625" style="1"/>
    <col min="4096" max="4096" width="24" style="1" customWidth="1"/>
    <col min="4097" max="4097" width="29.7109375" style="1" customWidth="1"/>
    <col min="4098" max="4105" width="10.28515625" style="1" customWidth="1"/>
    <col min="4106" max="4107" width="10.140625" style="1" bestFit="1" customWidth="1"/>
    <col min="4108" max="4108" width="10.5703125" style="1" customWidth="1"/>
    <col min="4109" max="4351" width="9.140625" style="1"/>
    <col min="4352" max="4352" width="24" style="1" customWidth="1"/>
    <col min="4353" max="4353" width="29.7109375" style="1" customWidth="1"/>
    <col min="4354" max="4361" width="10.28515625" style="1" customWidth="1"/>
    <col min="4362" max="4363" width="10.140625" style="1" bestFit="1" customWidth="1"/>
    <col min="4364" max="4364" width="10.5703125" style="1" customWidth="1"/>
    <col min="4365" max="4607" width="9.140625" style="1"/>
    <col min="4608" max="4608" width="24" style="1" customWidth="1"/>
    <col min="4609" max="4609" width="29.7109375" style="1" customWidth="1"/>
    <col min="4610" max="4617" width="10.28515625" style="1" customWidth="1"/>
    <col min="4618" max="4619" width="10.140625" style="1" bestFit="1" customWidth="1"/>
    <col min="4620" max="4620" width="10.5703125" style="1" customWidth="1"/>
    <col min="4621" max="4863" width="9.140625" style="1"/>
    <col min="4864" max="4864" width="24" style="1" customWidth="1"/>
    <col min="4865" max="4865" width="29.7109375" style="1" customWidth="1"/>
    <col min="4866" max="4873" width="10.28515625" style="1" customWidth="1"/>
    <col min="4874" max="4875" width="10.140625" style="1" bestFit="1" customWidth="1"/>
    <col min="4876" max="4876" width="10.5703125" style="1" customWidth="1"/>
    <col min="4877" max="5119" width="9.140625" style="1"/>
    <col min="5120" max="5120" width="24" style="1" customWidth="1"/>
    <col min="5121" max="5121" width="29.7109375" style="1" customWidth="1"/>
    <col min="5122" max="5129" width="10.28515625" style="1" customWidth="1"/>
    <col min="5130" max="5131" width="10.140625" style="1" bestFit="1" customWidth="1"/>
    <col min="5132" max="5132" width="10.5703125" style="1" customWidth="1"/>
    <col min="5133" max="5375" width="9.140625" style="1"/>
    <col min="5376" max="5376" width="24" style="1" customWidth="1"/>
    <col min="5377" max="5377" width="29.7109375" style="1" customWidth="1"/>
    <col min="5378" max="5385" width="10.28515625" style="1" customWidth="1"/>
    <col min="5386" max="5387" width="10.140625" style="1" bestFit="1" customWidth="1"/>
    <col min="5388" max="5388" width="10.5703125" style="1" customWidth="1"/>
    <col min="5389" max="5631" width="9.140625" style="1"/>
    <col min="5632" max="5632" width="24" style="1" customWidth="1"/>
    <col min="5633" max="5633" width="29.7109375" style="1" customWidth="1"/>
    <col min="5634" max="5641" width="10.28515625" style="1" customWidth="1"/>
    <col min="5642" max="5643" width="10.140625" style="1" bestFit="1" customWidth="1"/>
    <col min="5644" max="5644" width="10.5703125" style="1" customWidth="1"/>
    <col min="5645" max="5887" width="9.140625" style="1"/>
    <col min="5888" max="5888" width="24" style="1" customWidth="1"/>
    <col min="5889" max="5889" width="29.7109375" style="1" customWidth="1"/>
    <col min="5890" max="5897" width="10.28515625" style="1" customWidth="1"/>
    <col min="5898" max="5899" width="10.140625" style="1" bestFit="1" customWidth="1"/>
    <col min="5900" max="5900" width="10.5703125" style="1" customWidth="1"/>
    <col min="5901" max="6143" width="9.140625" style="1"/>
    <col min="6144" max="6144" width="24" style="1" customWidth="1"/>
    <col min="6145" max="6145" width="29.7109375" style="1" customWidth="1"/>
    <col min="6146" max="6153" width="10.28515625" style="1" customWidth="1"/>
    <col min="6154" max="6155" width="10.140625" style="1" bestFit="1" customWidth="1"/>
    <col min="6156" max="6156" width="10.5703125" style="1" customWidth="1"/>
    <col min="6157" max="6399" width="9.140625" style="1"/>
    <col min="6400" max="6400" width="24" style="1" customWidth="1"/>
    <col min="6401" max="6401" width="29.7109375" style="1" customWidth="1"/>
    <col min="6402" max="6409" width="10.28515625" style="1" customWidth="1"/>
    <col min="6410" max="6411" width="10.140625" style="1" bestFit="1" customWidth="1"/>
    <col min="6412" max="6412" width="10.5703125" style="1" customWidth="1"/>
    <col min="6413" max="6655" width="9.140625" style="1"/>
    <col min="6656" max="6656" width="24" style="1" customWidth="1"/>
    <col min="6657" max="6657" width="29.7109375" style="1" customWidth="1"/>
    <col min="6658" max="6665" width="10.28515625" style="1" customWidth="1"/>
    <col min="6666" max="6667" width="10.140625" style="1" bestFit="1" customWidth="1"/>
    <col min="6668" max="6668" width="10.5703125" style="1" customWidth="1"/>
    <col min="6669" max="6911" width="9.140625" style="1"/>
    <col min="6912" max="6912" width="24" style="1" customWidth="1"/>
    <col min="6913" max="6913" width="29.7109375" style="1" customWidth="1"/>
    <col min="6914" max="6921" width="10.28515625" style="1" customWidth="1"/>
    <col min="6922" max="6923" width="10.140625" style="1" bestFit="1" customWidth="1"/>
    <col min="6924" max="6924" width="10.5703125" style="1" customWidth="1"/>
    <col min="6925" max="7167" width="9.140625" style="1"/>
    <col min="7168" max="7168" width="24" style="1" customWidth="1"/>
    <col min="7169" max="7169" width="29.7109375" style="1" customWidth="1"/>
    <col min="7170" max="7177" width="10.28515625" style="1" customWidth="1"/>
    <col min="7178" max="7179" width="10.140625" style="1" bestFit="1" customWidth="1"/>
    <col min="7180" max="7180" width="10.5703125" style="1" customWidth="1"/>
    <col min="7181" max="7423" width="9.140625" style="1"/>
    <col min="7424" max="7424" width="24" style="1" customWidth="1"/>
    <col min="7425" max="7425" width="29.7109375" style="1" customWidth="1"/>
    <col min="7426" max="7433" width="10.28515625" style="1" customWidth="1"/>
    <col min="7434" max="7435" width="10.140625" style="1" bestFit="1" customWidth="1"/>
    <col min="7436" max="7436" width="10.5703125" style="1" customWidth="1"/>
    <col min="7437" max="7679" width="9.140625" style="1"/>
    <col min="7680" max="7680" width="24" style="1" customWidth="1"/>
    <col min="7681" max="7681" width="29.7109375" style="1" customWidth="1"/>
    <col min="7682" max="7689" width="10.28515625" style="1" customWidth="1"/>
    <col min="7690" max="7691" width="10.140625" style="1" bestFit="1" customWidth="1"/>
    <col min="7692" max="7692" width="10.5703125" style="1" customWidth="1"/>
    <col min="7693" max="7935" width="9.140625" style="1"/>
    <col min="7936" max="7936" width="24" style="1" customWidth="1"/>
    <col min="7937" max="7937" width="29.7109375" style="1" customWidth="1"/>
    <col min="7938" max="7945" width="10.28515625" style="1" customWidth="1"/>
    <col min="7946" max="7947" width="10.140625" style="1" bestFit="1" customWidth="1"/>
    <col min="7948" max="7948" width="10.5703125" style="1" customWidth="1"/>
    <col min="7949" max="8191" width="9.140625" style="1"/>
    <col min="8192" max="8192" width="24" style="1" customWidth="1"/>
    <col min="8193" max="8193" width="29.7109375" style="1" customWidth="1"/>
    <col min="8194" max="8201" width="10.28515625" style="1" customWidth="1"/>
    <col min="8202" max="8203" width="10.140625" style="1" bestFit="1" customWidth="1"/>
    <col min="8204" max="8204" width="10.5703125" style="1" customWidth="1"/>
    <col min="8205" max="8447" width="9.140625" style="1"/>
    <col min="8448" max="8448" width="24" style="1" customWidth="1"/>
    <col min="8449" max="8449" width="29.7109375" style="1" customWidth="1"/>
    <col min="8450" max="8457" width="10.28515625" style="1" customWidth="1"/>
    <col min="8458" max="8459" width="10.140625" style="1" bestFit="1" customWidth="1"/>
    <col min="8460" max="8460" width="10.5703125" style="1" customWidth="1"/>
    <col min="8461" max="8703" width="9.140625" style="1"/>
    <col min="8704" max="8704" width="24" style="1" customWidth="1"/>
    <col min="8705" max="8705" width="29.7109375" style="1" customWidth="1"/>
    <col min="8706" max="8713" width="10.28515625" style="1" customWidth="1"/>
    <col min="8714" max="8715" width="10.140625" style="1" bestFit="1" customWidth="1"/>
    <col min="8716" max="8716" width="10.5703125" style="1" customWidth="1"/>
    <col min="8717" max="8959" width="9.140625" style="1"/>
    <col min="8960" max="8960" width="24" style="1" customWidth="1"/>
    <col min="8961" max="8961" width="29.7109375" style="1" customWidth="1"/>
    <col min="8962" max="8969" width="10.28515625" style="1" customWidth="1"/>
    <col min="8970" max="8971" width="10.140625" style="1" bestFit="1" customWidth="1"/>
    <col min="8972" max="8972" width="10.5703125" style="1" customWidth="1"/>
    <col min="8973" max="9215" width="9.140625" style="1"/>
    <col min="9216" max="9216" width="24" style="1" customWidth="1"/>
    <col min="9217" max="9217" width="29.7109375" style="1" customWidth="1"/>
    <col min="9218" max="9225" width="10.28515625" style="1" customWidth="1"/>
    <col min="9226" max="9227" width="10.140625" style="1" bestFit="1" customWidth="1"/>
    <col min="9228" max="9228" width="10.5703125" style="1" customWidth="1"/>
    <col min="9229" max="9471" width="9.140625" style="1"/>
    <col min="9472" max="9472" width="24" style="1" customWidth="1"/>
    <col min="9473" max="9473" width="29.7109375" style="1" customWidth="1"/>
    <col min="9474" max="9481" width="10.28515625" style="1" customWidth="1"/>
    <col min="9482" max="9483" width="10.140625" style="1" bestFit="1" customWidth="1"/>
    <col min="9484" max="9484" width="10.5703125" style="1" customWidth="1"/>
    <col min="9485" max="9727" width="9.140625" style="1"/>
    <col min="9728" max="9728" width="24" style="1" customWidth="1"/>
    <col min="9729" max="9729" width="29.7109375" style="1" customWidth="1"/>
    <col min="9730" max="9737" width="10.28515625" style="1" customWidth="1"/>
    <col min="9738" max="9739" width="10.140625" style="1" bestFit="1" customWidth="1"/>
    <col min="9740" max="9740" width="10.5703125" style="1" customWidth="1"/>
    <col min="9741" max="9983" width="9.140625" style="1"/>
    <col min="9984" max="9984" width="24" style="1" customWidth="1"/>
    <col min="9985" max="9985" width="29.7109375" style="1" customWidth="1"/>
    <col min="9986" max="9993" width="10.28515625" style="1" customWidth="1"/>
    <col min="9994" max="9995" width="10.140625" style="1" bestFit="1" customWidth="1"/>
    <col min="9996" max="9996" width="10.5703125" style="1" customWidth="1"/>
    <col min="9997" max="10239" width="9.140625" style="1"/>
    <col min="10240" max="10240" width="24" style="1" customWidth="1"/>
    <col min="10241" max="10241" width="29.7109375" style="1" customWidth="1"/>
    <col min="10242" max="10249" width="10.28515625" style="1" customWidth="1"/>
    <col min="10250" max="10251" width="10.140625" style="1" bestFit="1" customWidth="1"/>
    <col min="10252" max="10252" width="10.5703125" style="1" customWidth="1"/>
    <col min="10253" max="10495" width="9.140625" style="1"/>
    <col min="10496" max="10496" width="24" style="1" customWidth="1"/>
    <col min="10497" max="10497" width="29.7109375" style="1" customWidth="1"/>
    <col min="10498" max="10505" width="10.28515625" style="1" customWidth="1"/>
    <col min="10506" max="10507" width="10.140625" style="1" bestFit="1" customWidth="1"/>
    <col min="10508" max="10508" width="10.5703125" style="1" customWidth="1"/>
    <col min="10509" max="10751" width="9.140625" style="1"/>
    <col min="10752" max="10752" width="24" style="1" customWidth="1"/>
    <col min="10753" max="10753" width="29.7109375" style="1" customWidth="1"/>
    <col min="10754" max="10761" width="10.28515625" style="1" customWidth="1"/>
    <col min="10762" max="10763" width="10.140625" style="1" bestFit="1" customWidth="1"/>
    <col min="10764" max="10764" width="10.5703125" style="1" customWidth="1"/>
    <col min="10765" max="11007" width="9.140625" style="1"/>
    <col min="11008" max="11008" width="24" style="1" customWidth="1"/>
    <col min="11009" max="11009" width="29.7109375" style="1" customWidth="1"/>
    <col min="11010" max="11017" width="10.28515625" style="1" customWidth="1"/>
    <col min="11018" max="11019" width="10.140625" style="1" bestFit="1" customWidth="1"/>
    <col min="11020" max="11020" width="10.5703125" style="1" customWidth="1"/>
    <col min="11021" max="11263" width="9.140625" style="1"/>
    <col min="11264" max="11264" width="24" style="1" customWidth="1"/>
    <col min="11265" max="11265" width="29.7109375" style="1" customWidth="1"/>
    <col min="11266" max="11273" width="10.28515625" style="1" customWidth="1"/>
    <col min="11274" max="11275" width="10.140625" style="1" bestFit="1" customWidth="1"/>
    <col min="11276" max="11276" width="10.5703125" style="1" customWidth="1"/>
    <col min="11277" max="11519" width="9.140625" style="1"/>
    <col min="11520" max="11520" width="24" style="1" customWidth="1"/>
    <col min="11521" max="11521" width="29.7109375" style="1" customWidth="1"/>
    <col min="11522" max="11529" width="10.28515625" style="1" customWidth="1"/>
    <col min="11530" max="11531" width="10.140625" style="1" bestFit="1" customWidth="1"/>
    <col min="11532" max="11532" width="10.5703125" style="1" customWidth="1"/>
    <col min="11533" max="11775" width="9.140625" style="1"/>
    <col min="11776" max="11776" width="24" style="1" customWidth="1"/>
    <col min="11777" max="11777" width="29.7109375" style="1" customWidth="1"/>
    <col min="11778" max="11785" width="10.28515625" style="1" customWidth="1"/>
    <col min="11786" max="11787" width="10.140625" style="1" bestFit="1" customWidth="1"/>
    <col min="11788" max="11788" width="10.5703125" style="1" customWidth="1"/>
    <col min="11789" max="12031" width="9.140625" style="1"/>
    <col min="12032" max="12032" width="24" style="1" customWidth="1"/>
    <col min="12033" max="12033" width="29.7109375" style="1" customWidth="1"/>
    <col min="12034" max="12041" width="10.28515625" style="1" customWidth="1"/>
    <col min="12042" max="12043" width="10.140625" style="1" bestFit="1" customWidth="1"/>
    <col min="12044" max="12044" width="10.5703125" style="1" customWidth="1"/>
    <col min="12045" max="12287" width="9.140625" style="1"/>
    <col min="12288" max="12288" width="24" style="1" customWidth="1"/>
    <col min="12289" max="12289" width="29.7109375" style="1" customWidth="1"/>
    <col min="12290" max="12297" width="10.28515625" style="1" customWidth="1"/>
    <col min="12298" max="12299" width="10.140625" style="1" bestFit="1" customWidth="1"/>
    <col min="12300" max="12300" width="10.5703125" style="1" customWidth="1"/>
    <col min="12301" max="12543" width="9.140625" style="1"/>
    <col min="12544" max="12544" width="24" style="1" customWidth="1"/>
    <col min="12545" max="12545" width="29.7109375" style="1" customWidth="1"/>
    <col min="12546" max="12553" width="10.28515625" style="1" customWidth="1"/>
    <col min="12554" max="12555" width="10.140625" style="1" bestFit="1" customWidth="1"/>
    <col min="12556" max="12556" width="10.5703125" style="1" customWidth="1"/>
    <col min="12557" max="12799" width="9.140625" style="1"/>
    <col min="12800" max="12800" width="24" style="1" customWidth="1"/>
    <col min="12801" max="12801" width="29.7109375" style="1" customWidth="1"/>
    <col min="12802" max="12809" width="10.28515625" style="1" customWidth="1"/>
    <col min="12810" max="12811" width="10.140625" style="1" bestFit="1" customWidth="1"/>
    <col min="12812" max="12812" width="10.5703125" style="1" customWidth="1"/>
    <col min="12813" max="13055" width="9.140625" style="1"/>
    <col min="13056" max="13056" width="24" style="1" customWidth="1"/>
    <col min="13057" max="13057" width="29.7109375" style="1" customWidth="1"/>
    <col min="13058" max="13065" width="10.28515625" style="1" customWidth="1"/>
    <col min="13066" max="13067" width="10.140625" style="1" bestFit="1" customWidth="1"/>
    <col min="13068" max="13068" width="10.5703125" style="1" customWidth="1"/>
    <col min="13069" max="13311" width="9.140625" style="1"/>
    <col min="13312" max="13312" width="24" style="1" customWidth="1"/>
    <col min="13313" max="13313" width="29.7109375" style="1" customWidth="1"/>
    <col min="13314" max="13321" width="10.28515625" style="1" customWidth="1"/>
    <col min="13322" max="13323" width="10.140625" style="1" bestFit="1" customWidth="1"/>
    <col min="13324" max="13324" width="10.5703125" style="1" customWidth="1"/>
    <col min="13325" max="13567" width="9.140625" style="1"/>
    <col min="13568" max="13568" width="24" style="1" customWidth="1"/>
    <col min="13569" max="13569" width="29.7109375" style="1" customWidth="1"/>
    <col min="13570" max="13577" width="10.28515625" style="1" customWidth="1"/>
    <col min="13578" max="13579" width="10.140625" style="1" bestFit="1" customWidth="1"/>
    <col min="13580" max="13580" width="10.5703125" style="1" customWidth="1"/>
    <col min="13581" max="13823" width="9.140625" style="1"/>
    <col min="13824" max="13824" width="24" style="1" customWidth="1"/>
    <col min="13825" max="13825" width="29.7109375" style="1" customWidth="1"/>
    <col min="13826" max="13833" width="10.28515625" style="1" customWidth="1"/>
    <col min="13834" max="13835" width="10.140625" style="1" bestFit="1" customWidth="1"/>
    <col min="13836" max="13836" width="10.5703125" style="1" customWidth="1"/>
    <col min="13837" max="14079" width="9.140625" style="1"/>
    <col min="14080" max="14080" width="24" style="1" customWidth="1"/>
    <col min="14081" max="14081" width="29.7109375" style="1" customWidth="1"/>
    <col min="14082" max="14089" width="10.28515625" style="1" customWidth="1"/>
    <col min="14090" max="14091" width="10.140625" style="1" bestFit="1" customWidth="1"/>
    <col min="14092" max="14092" width="10.5703125" style="1" customWidth="1"/>
    <col min="14093" max="14335" width="9.140625" style="1"/>
    <col min="14336" max="14336" width="24" style="1" customWidth="1"/>
    <col min="14337" max="14337" width="29.7109375" style="1" customWidth="1"/>
    <col min="14338" max="14345" width="10.28515625" style="1" customWidth="1"/>
    <col min="14346" max="14347" width="10.140625" style="1" bestFit="1" customWidth="1"/>
    <col min="14348" max="14348" width="10.5703125" style="1" customWidth="1"/>
    <col min="14349" max="14591" width="9.140625" style="1"/>
    <col min="14592" max="14592" width="24" style="1" customWidth="1"/>
    <col min="14593" max="14593" width="29.7109375" style="1" customWidth="1"/>
    <col min="14594" max="14601" width="10.28515625" style="1" customWidth="1"/>
    <col min="14602" max="14603" width="10.140625" style="1" bestFit="1" customWidth="1"/>
    <col min="14604" max="14604" width="10.5703125" style="1" customWidth="1"/>
    <col min="14605" max="14847" width="9.140625" style="1"/>
    <col min="14848" max="14848" width="24" style="1" customWidth="1"/>
    <col min="14849" max="14849" width="29.7109375" style="1" customWidth="1"/>
    <col min="14850" max="14857" width="10.28515625" style="1" customWidth="1"/>
    <col min="14858" max="14859" width="10.140625" style="1" bestFit="1" customWidth="1"/>
    <col min="14860" max="14860" width="10.5703125" style="1" customWidth="1"/>
    <col min="14861" max="15103" width="9.140625" style="1"/>
    <col min="15104" max="15104" width="24" style="1" customWidth="1"/>
    <col min="15105" max="15105" width="29.7109375" style="1" customWidth="1"/>
    <col min="15106" max="15113" width="10.28515625" style="1" customWidth="1"/>
    <col min="15114" max="15115" width="10.140625" style="1" bestFit="1" customWidth="1"/>
    <col min="15116" max="15116" width="10.5703125" style="1" customWidth="1"/>
    <col min="15117" max="15359" width="9.140625" style="1"/>
    <col min="15360" max="15360" width="24" style="1" customWidth="1"/>
    <col min="15361" max="15361" width="29.7109375" style="1" customWidth="1"/>
    <col min="15362" max="15369" width="10.28515625" style="1" customWidth="1"/>
    <col min="15370" max="15371" width="10.140625" style="1" bestFit="1" customWidth="1"/>
    <col min="15372" max="15372" width="10.5703125" style="1" customWidth="1"/>
    <col min="15373" max="15615" width="9.140625" style="1"/>
    <col min="15616" max="15616" width="24" style="1" customWidth="1"/>
    <col min="15617" max="15617" width="29.7109375" style="1" customWidth="1"/>
    <col min="15618" max="15625" width="10.28515625" style="1" customWidth="1"/>
    <col min="15626" max="15627" width="10.140625" style="1" bestFit="1" customWidth="1"/>
    <col min="15628" max="15628" width="10.5703125" style="1" customWidth="1"/>
    <col min="15629" max="15871" width="9.140625" style="1"/>
    <col min="15872" max="15872" width="24" style="1" customWidth="1"/>
    <col min="15873" max="15873" width="29.7109375" style="1" customWidth="1"/>
    <col min="15874" max="15881" width="10.28515625" style="1" customWidth="1"/>
    <col min="15882" max="15883" width="10.140625" style="1" bestFit="1" customWidth="1"/>
    <col min="15884" max="15884" width="10.5703125" style="1" customWidth="1"/>
    <col min="15885" max="16127" width="9.140625" style="1"/>
    <col min="16128" max="16128" width="24" style="1" customWidth="1"/>
    <col min="16129" max="16129" width="29.7109375" style="1" customWidth="1"/>
    <col min="16130" max="16137" width="10.28515625" style="1" customWidth="1"/>
    <col min="16138" max="16139" width="10.140625" style="1" bestFit="1" customWidth="1"/>
    <col min="16140" max="16140" width="10.5703125" style="1" customWidth="1"/>
    <col min="16141" max="16384" width="9.140625" style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11" x14ac:dyDescent="0.25">
      <c r="K3" s="1"/>
    </row>
    <row r="4" spans="1:11" s="12" customFormat="1" ht="14.25" x14ac:dyDescent="0.2">
      <c r="A4" s="5" t="s">
        <v>352</v>
      </c>
      <c r="B4" s="11"/>
      <c r="C4" s="442" t="s">
        <v>3</v>
      </c>
      <c r="D4" s="443"/>
      <c r="E4" s="442" t="s">
        <v>4</v>
      </c>
      <c r="F4" s="443"/>
      <c r="G4" s="442" t="s">
        <v>5</v>
      </c>
      <c r="H4" s="443"/>
      <c r="I4" s="10" t="s">
        <v>570</v>
      </c>
    </row>
    <row r="5" spans="1:1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  <c r="K5" s="1"/>
    </row>
    <row r="6" spans="1:11" x14ac:dyDescent="0.25">
      <c r="A6" s="4" t="s">
        <v>353</v>
      </c>
      <c r="B6" s="4" t="s">
        <v>670</v>
      </c>
      <c r="C6" s="82">
        <v>30000</v>
      </c>
      <c r="D6" s="83"/>
      <c r="E6" s="82">
        <v>30000</v>
      </c>
      <c r="F6" s="75"/>
      <c r="G6" s="86"/>
      <c r="H6" s="75"/>
      <c r="I6" s="86"/>
      <c r="K6" s="1"/>
    </row>
    <row r="7" spans="1:11" x14ac:dyDescent="0.25">
      <c r="A7" s="4" t="s">
        <v>353</v>
      </c>
      <c r="B7" s="4" t="s">
        <v>354</v>
      </c>
      <c r="C7" s="82">
        <f>66000-15979</f>
        <v>50021</v>
      </c>
      <c r="D7" s="83"/>
      <c r="E7" s="82">
        <f>66000-14923</f>
        <v>51077</v>
      </c>
      <c r="F7" s="75"/>
      <c r="G7" s="86">
        <f>66000-13867</f>
        <v>52133</v>
      </c>
      <c r="H7" s="75"/>
      <c r="I7" s="86">
        <v>53189</v>
      </c>
      <c r="K7" s="1"/>
    </row>
    <row r="8" spans="1:11" x14ac:dyDescent="0.25">
      <c r="A8" s="4" t="s">
        <v>656</v>
      </c>
      <c r="B8" s="4" t="s">
        <v>657</v>
      </c>
      <c r="C8" s="82"/>
      <c r="D8" s="83"/>
      <c r="E8" s="82"/>
      <c r="F8" s="75"/>
      <c r="G8" s="86"/>
      <c r="H8" s="75"/>
      <c r="I8" s="86">
        <v>55000</v>
      </c>
      <c r="K8" s="1"/>
    </row>
    <row r="9" spans="1:11" x14ac:dyDescent="0.25">
      <c r="A9" s="11" t="s">
        <v>9</v>
      </c>
      <c r="B9" s="11"/>
      <c r="C9" s="91">
        <f>SUM(C6:C7)</f>
        <v>80021</v>
      </c>
      <c r="D9" s="92"/>
      <c r="E9" s="91">
        <f t="shared" ref="E9:G9" si="0">SUM(E6:E7)</f>
        <v>81077</v>
      </c>
      <c r="F9" s="92"/>
      <c r="G9" s="91">
        <f t="shared" si="0"/>
        <v>52133</v>
      </c>
      <c r="H9" s="92"/>
      <c r="I9" s="91">
        <f>SUM(I6:I8)</f>
        <v>108189</v>
      </c>
      <c r="K9" s="1"/>
    </row>
    <row r="10" spans="1:11" x14ac:dyDescent="0.25">
      <c r="K10" s="1"/>
    </row>
    <row r="11" spans="1:11" ht="18.75" customHeight="1" x14ac:dyDescent="0.25">
      <c r="A11" s="259" t="s">
        <v>672</v>
      </c>
      <c r="K11" s="1"/>
    </row>
    <row r="12" spans="1:11" x14ac:dyDescent="0.25">
      <c r="A12" s="179" t="s">
        <v>673</v>
      </c>
      <c r="K12" s="1"/>
    </row>
    <row r="13" spans="1:11" x14ac:dyDescent="0.25">
      <c r="A13" s="179" t="s">
        <v>671</v>
      </c>
      <c r="K13" s="1"/>
    </row>
    <row r="14" spans="1:11" s="12" customFormat="1" x14ac:dyDescent="0.25">
      <c r="A14" s="179"/>
      <c r="B14" s="1"/>
      <c r="C14" s="1"/>
      <c r="D14" s="1"/>
      <c r="E14" s="1"/>
      <c r="F14" s="1"/>
      <c r="G14" s="1"/>
      <c r="I14" s="182"/>
    </row>
    <row r="15" spans="1:11" s="12" customFormat="1" x14ac:dyDescent="0.25">
      <c r="A15" s="179"/>
      <c r="B15" s="1"/>
      <c r="C15" s="1"/>
      <c r="D15" s="1"/>
      <c r="E15" s="1"/>
      <c r="F15" s="1"/>
      <c r="G15" s="1"/>
    </row>
    <row r="16" spans="1:11" s="12" customFormat="1" x14ac:dyDescent="0.25">
      <c r="A16" s="179"/>
      <c r="B16" s="1"/>
      <c r="C16" s="1"/>
      <c r="D16" s="1"/>
      <c r="E16" s="1"/>
      <c r="F16" s="1"/>
      <c r="G16" s="1"/>
    </row>
    <row r="17" spans="1:11" s="12" customFormat="1" x14ac:dyDescent="0.25">
      <c r="A17" s="179"/>
      <c r="B17" s="1"/>
      <c r="C17" s="1"/>
      <c r="D17" s="1"/>
      <c r="E17" s="1"/>
      <c r="F17" s="1"/>
      <c r="G17" s="1"/>
    </row>
    <row r="18" spans="1:11" x14ac:dyDescent="0.25">
      <c r="A18" s="179"/>
      <c r="G18" s="177"/>
      <c r="K18" s="1"/>
    </row>
    <row r="19" spans="1:11" x14ac:dyDescent="0.25">
      <c r="K19" s="1"/>
    </row>
    <row r="20" spans="1:11" x14ac:dyDescent="0.25">
      <c r="K20" s="1"/>
    </row>
    <row r="21" spans="1:11" x14ac:dyDescent="0.25">
      <c r="K21" s="1"/>
    </row>
    <row r="22" spans="1:11" x14ac:dyDescent="0.25">
      <c r="K22" s="1"/>
    </row>
    <row r="23" spans="1:11" x14ac:dyDescent="0.25">
      <c r="K23" s="1"/>
    </row>
    <row r="24" spans="1:11" x14ac:dyDescent="0.25">
      <c r="K24" s="1"/>
    </row>
    <row r="25" spans="1:11" x14ac:dyDescent="0.25">
      <c r="K25" s="154"/>
    </row>
    <row r="26" spans="1:11" x14ac:dyDescent="0.25">
      <c r="K26" s="1"/>
    </row>
    <row r="27" spans="1:11" x14ac:dyDescent="0.25">
      <c r="K27" s="1"/>
    </row>
    <row r="28" spans="1:11" x14ac:dyDescent="0.25">
      <c r="K28" s="1"/>
    </row>
    <row r="29" spans="1:11" x14ac:dyDescent="0.25">
      <c r="K29" s="1"/>
    </row>
    <row r="30" spans="1:11" x14ac:dyDescent="0.25">
      <c r="K30" s="1"/>
    </row>
    <row r="31" spans="1:11" x14ac:dyDescent="0.25">
      <c r="K31" s="1"/>
    </row>
    <row r="32" spans="1:11" x14ac:dyDescent="0.25">
      <c r="K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</sheetData>
  <mergeCells count="5">
    <mergeCell ref="A1:K1"/>
    <mergeCell ref="A2:K2"/>
    <mergeCell ref="C4:D4"/>
    <mergeCell ref="E4:F4"/>
    <mergeCell ref="G4:H4"/>
  </mergeCells>
  <pageMargins left="0.25" right="0.25" top="0.75" bottom="0.75" header="0.3" footer="0.3"/>
  <pageSetup fitToHeight="0" orientation="landscape" r:id="rId1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66D13-B6DD-4DC8-81FB-D578B5F2A2E6}">
  <sheetPr>
    <tabColor theme="9" tint="0.39997558519241921"/>
  </sheetPr>
  <dimension ref="A1:M10"/>
  <sheetViews>
    <sheetView workbookViewId="0">
      <selection activeCell="D14" sqref="D14"/>
    </sheetView>
  </sheetViews>
  <sheetFormatPr defaultRowHeight="15" x14ac:dyDescent="0.25"/>
  <cols>
    <col min="1" max="1" width="25.5703125" customWidth="1"/>
    <col min="2" max="2" width="26.5703125" customWidth="1"/>
  </cols>
  <sheetData>
    <row r="1" spans="1:13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1"/>
      <c r="M1" s="1"/>
    </row>
    <row r="2" spans="1:13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5" t="s">
        <v>601</v>
      </c>
      <c r="B4" s="11"/>
      <c r="C4" s="442" t="s">
        <v>3</v>
      </c>
      <c r="D4" s="443"/>
      <c r="E4" s="442" t="s">
        <v>4</v>
      </c>
      <c r="F4" s="443"/>
      <c r="G4" s="442" t="s">
        <v>5</v>
      </c>
      <c r="H4" s="443"/>
      <c r="I4" s="10" t="s">
        <v>570</v>
      </c>
    </row>
    <row r="5" spans="1:13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</row>
    <row r="6" spans="1:13" x14ac:dyDescent="0.25">
      <c r="A6" s="4" t="s">
        <v>355</v>
      </c>
      <c r="B6" s="4" t="s">
        <v>356</v>
      </c>
      <c r="C6" s="82">
        <v>21231</v>
      </c>
      <c r="D6" s="83"/>
      <c r="E6" s="82">
        <v>20175</v>
      </c>
      <c r="F6" s="75"/>
      <c r="G6" s="86">
        <v>19119</v>
      </c>
      <c r="H6" s="75"/>
      <c r="I6" s="86">
        <v>18063</v>
      </c>
    </row>
    <row r="7" spans="1:13" x14ac:dyDescent="0.25">
      <c r="A7" s="4"/>
      <c r="B7" s="4" t="s">
        <v>658</v>
      </c>
      <c r="C7" s="82"/>
      <c r="D7" s="83"/>
      <c r="E7" s="82"/>
      <c r="F7" s="75"/>
      <c r="G7" s="86"/>
      <c r="H7" s="75"/>
      <c r="I7" s="86">
        <v>3410</v>
      </c>
    </row>
    <row r="8" spans="1:13" x14ac:dyDescent="0.25">
      <c r="A8" s="11" t="s">
        <v>9</v>
      </c>
      <c r="B8" s="11"/>
      <c r="C8" s="91">
        <f t="shared" ref="C8:H8" si="0">SUM(C6:C6)</f>
        <v>21231</v>
      </c>
      <c r="D8" s="92">
        <f t="shared" si="0"/>
        <v>0</v>
      </c>
      <c r="E8" s="91">
        <f t="shared" si="0"/>
        <v>20175</v>
      </c>
      <c r="F8" s="92">
        <f t="shared" si="0"/>
        <v>0</v>
      </c>
      <c r="G8" s="91">
        <f t="shared" si="0"/>
        <v>19119</v>
      </c>
      <c r="H8" s="92">
        <f t="shared" si="0"/>
        <v>0</v>
      </c>
      <c r="I8" s="91">
        <f>SUM(I6:I7)</f>
        <v>21473</v>
      </c>
    </row>
    <row r="10" spans="1:13" x14ac:dyDescent="0.25">
      <c r="A10" s="60" t="s">
        <v>674</v>
      </c>
    </row>
  </sheetData>
  <mergeCells count="5">
    <mergeCell ref="A1:K1"/>
    <mergeCell ref="A2:K2"/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8BD3-8793-4CAE-A8EF-A1EC98EA6A53}">
  <sheetPr>
    <tabColor theme="9" tint="0.39997558519241921"/>
  </sheetPr>
  <dimension ref="A1:M9"/>
  <sheetViews>
    <sheetView workbookViewId="0">
      <selection activeCell="D20" sqref="D20"/>
    </sheetView>
  </sheetViews>
  <sheetFormatPr defaultRowHeight="15" x14ac:dyDescent="0.25"/>
  <cols>
    <col min="1" max="1" width="23" customWidth="1"/>
    <col min="2" max="2" width="30.7109375" customWidth="1"/>
  </cols>
  <sheetData>
    <row r="1" spans="1:13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1"/>
      <c r="M1" s="1"/>
    </row>
    <row r="2" spans="1:13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5" t="s">
        <v>567</v>
      </c>
      <c r="B4" s="11"/>
      <c r="C4" s="442" t="s">
        <v>3</v>
      </c>
      <c r="D4" s="443"/>
      <c r="E4" s="442" t="s">
        <v>4</v>
      </c>
      <c r="F4" s="443"/>
      <c r="G4" s="442" t="s">
        <v>5</v>
      </c>
      <c r="H4" s="443"/>
      <c r="I4" s="10" t="s">
        <v>570</v>
      </c>
    </row>
    <row r="5" spans="1:13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</row>
    <row r="6" spans="1:13" x14ac:dyDescent="0.25">
      <c r="A6" s="4" t="s">
        <v>357</v>
      </c>
      <c r="B6" s="4" t="s">
        <v>446</v>
      </c>
      <c r="C6" s="82">
        <v>1650</v>
      </c>
      <c r="D6" s="83"/>
      <c r="E6" s="82">
        <f>550+1100</f>
        <v>1650</v>
      </c>
      <c r="F6" s="74"/>
      <c r="G6" s="86">
        <v>1</v>
      </c>
      <c r="H6" s="74"/>
      <c r="I6" s="86">
        <v>1</v>
      </c>
    </row>
    <row r="7" spans="1:13" x14ac:dyDescent="0.25">
      <c r="A7" s="4" t="s">
        <v>447</v>
      </c>
      <c r="B7" s="4" t="s">
        <v>448</v>
      </c>
      <c r="C7" s="82"/>
      <c r="D7" s="83"/>
      <c r="E7" s="82"/>
      <c r="F7" s="74"/>
      <c r="G7" s="86">
        <v>100</v>
      </c>
      <c r="H7" s="74"/>
      <c r="I7" s="86">
        <v>100</v>
      </c>
    </row>
    <row r="8" spans="1:13" x14ac:dyDescent="0.25">
      <c r="A8" s="4"/>
      <c r="B8" s="4"/>
      <c r="C8" s="82"/>
      <c r="D8" s="83"/>
      <c r="E8" s="82"/>
      <c r="F8" s="74"/>
      <c r="G8" s="86"/>
      <c r="H8" s="74"/>
      <c r="I8" s="86"/>
    </row>
    <row r="9" spans="1:13" x14ac:dyDescent="0.25">
      <c r="A9" s="11" t="s">
        <v>9</v>
      </c>
      <c r="B9" s="11"/>
      <c r="C9" s="91">
        <f>SUM(C6:C7)</f>
        <v>1650</v>
      </c>
      <c r="D9" s="92">
        <f t="shared" ref="D9:I9" si="0">SUM(D6:D7)</f>
        <v>0</v>
      </c>
      <c r="E9" s="91">
        <f t="shared" si="0"/>
        <v>1650</v>
      </c>
      <c r="F9" s="92">
        <f t="shared" si="0"/>
        <v>0</v>
      </c>
      <c r="G9" s="91">
        <f t="shared" si="0"/>
        <v>101</v>
      </c>
      <c r="H9" s="92">
        <f t="shared" si="0"/>
        <v>0</v>
      </c>
      <c r="I9" s="91">
        <f t="shared" si="0"/>
        <v>101</v>
      </c>
    </row>
  </sheetData>
  <mergeCells count="5">
    <mergeCell ref="A1:K1"/>
    <mergeCell ref="A2:K2"/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D853-9B50-4D07-8C02-42E772D22A0A}">
  <sheetPr>
    <tabColor theme="9" tint="0.39997558519241921"/>
    <pageSetUpPr fitToPage="1"/>
  </sheetPr>
  <dimension ref="A1:K11"/>
  <sheetViews>
    <sheetView zoomScale="140" zoomScaleNormal="140" workbookViewId="0">
      <selection activeCell="J11" sqref="J11"/>
    </sheetView>
  </sheetViews>
  <sheetFormatPr defaultColWidth="9.140625" defaultRowHeight="15" x14ac:dyDescent="0.25"/>
  <cols>
    <col min="1" max="1" width="22.7109375" customWidth="1"/>
    <col min="2" max="2" width="25" customWidth="1"/>
    <col min="3" max="9" width="10.5703125" customWidth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  <c r="H1" s="46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  <c r="H2" s="46"/>
    </row>
    <row r="3" spans="1:11" x14ac:dyDescent="0.25">
      <c r="A3" s="1"/>
      <c r="B3" s="1"/>
      <c r="C3" s="1"/>
      <c r="D3" s="1"/>
    </row>
    <row r="4" spans="1:11" s="3" customFormat="1" x14ac:dyDescent="0.25">
      <c r="A4" s="5" t="s">
        <v>362</v>
      </c>
      <c r="B4" s="5"/>
      <c r="C4" s="456" t="s">
        <v>2</v>
      </c>
      <c r="D4" s="456"/>
      <c r="E4" s="442" t="s">
        <v>3</v>
      </c>
      <c r="F4" s="443"/>
      <c r="G4" s="454" t="s">
        <v>4</v>
      </c>
      <c r="H4" s="455"/>
      <c r="I4" s="456" t="s">
        <v>5</v>
      </c>
      <c r="J4" s="456"/>
      <c r="K4" s="226" t="s">
        <v>570</v>
      </c>
    </row>
    <row r="5" spans="1:11" x14ac:dyDescent="0.25">
      <c r="A5" s="4"/>
      <c r="B5" s="4"/>
      <c r="C5" s="81" t="s">
        <v>6</v>
      </c>
      <c r="D5" s="72" t="s">
        <v>373</v>
      </c>
      <c r="E5" s="81" t="s">
        <v>6</v>
      </c>
      <c r="F5" s="72" t="s">
        <v>373</v>
      </c>
      <c r="G5" s="81" t="s">
        <v>6</v>
      </c>
      <c r="H5" s="72" t="s">
        <v>373</v>
      </c>
      <c r="I5" s="81" t="s">
        <v>6</v>
      </c>
      <c r="J5" s="72" t="s">
        <v>373</v>
      </c>
      <c r="K5" s="81" t="s">
        <v>606</v>
      </c>
    </row>
    <row r="6" spans="1:11" x14ac:dyDescent="0.25">
      <c r="A6" s="4" t="s">
        <v>363</v>
      </c>
      <c r="B6" s="4" t="s">
        <v>364</v>
      </c>
      <c r="C6" s="82">
        <v>581</v>
      </c>
      <c r="D6" s="83">
        <v>581</v>
      </c>
      <c r="E6" s="82">
        <v>593</v>
      </c>
      <c r="F6" s="83">
        <v>593</v>
      </c>
      <c r="G6" s="86">
        <v>574</v>
      </c>
      <c r="H6" s="75">
        <v>574</v>
      </c>
      <c r="I6" s="86">
        <v>561</v>
      </c>
      <c r="J6" s="75">
        <v>329</v>
      </c>
      <c r="K6" s="86">
        <v>561</v>
      </c>
    </row>
    <row r="7" spans="1:11" x14ac:dyDescent="0.25">
      <c r="A7" s="4" t="s">
        <v>369</v>
      </c>
      <c r="B7" s="4" t="s">
        <v>365</v>
      </c>
      <c r="C7" s="82">
        <v>1340</v>
      </c>
      <c r="D7" s="83">
        <v>1200</v>
      </c>
      <c r="E7" s="82">
        <v>1720</v>
      </c>
      <c r="F7" s="83">
        <v>1720</v>
      </c>
      <c r="G7" s="86">
        <v>1720</v>
      </c>
      <c r="H7" s="75">
        <v>1160</v>
      </c>
      <c r="I7" s="86">
        <v>1160</v>
      </c>
      <c r="J7" s="75">
        <v>611</v>
      </c>
      <c r="K7" s="86">
        <v>1160</v>
      </c>
    </row>
    <row r="8" spans="1:11" x14ac:dyDescent="0.25">
      <c r="A8" s="4" t="s">
        <v>370</v>
      </c>
      <c r="B8" s="4" t="s">
        <v>366</v>
      </c>
      <c r="C8" s="82">
        <v>446</v>
      </c>
      <c r="D8" s="83">
        <v>446</v>
      </c>
      <c r="E8" s="82">
        <v>22</v>
      </c>
      <c r="F8" s="83">
        <v>22</v>
      </c>
      <c r="G8" s="86">
        <v>109</v>
      </c>
      <c r="H8" s="75">
        <v>109</v>
      </c>
      <c r="I8" s="86">
        <v>120</v>
      </c>
      <c r="J8" s="75">
        <v>70</v>
      </c>
      <c r="K8" s="86">
        <v>120</v>
      </c>
    </row>
    <row r="9" spans="1:11" x14ac:dyDescent="0.25">
      <c r="A9" s="4" t="s">
        <v>371</v>
      </c>
      <c r="B9" s="4" t="s">
        <v>367</v>
      </c>
      <c r="C9" s="82">
        <v>26158</v>
      </c>
      <c r="D9" s="83">
        <v>0</v>
      </c>
      <c r="E9" s="82">
        <v>0</v>
      </c>
      <c r="F9" s="83"/>
      <c r="G9" s="86"/>
      <c r="H9" s="75">
        <v>42395</v>
      </c>
      <c r="I9" s="86"/>
      <c r="J9" s="75"/>
      <c r="K9" s="86"/>
    </row>
    <row r="10" spans="1:11" x14ac:dyDescent="0.25">
      <c r="A10" s="4" t="s">
        <v>372</v>
      </c>
      <c r="B10" s="4" t="s">
        <v>368</v>
      </c>
      <c r="C10" s="82">
        <v>36396</v>
      </c>
      <c r="D10" s="83">
        <v>77397</v>
      </c>
      <c r="E10" s="82">
        <v>34477</v>
      </c>
      <c r="F10" s="83">
        <v>35917</v>
      </c>
      <c r="G10" s="86">
        <v>35917</v>
      </c>
      <c r="H10" s="75"/>
      <c r="I10" s="86">
        <v>30957</v>
      </c>
      <c r="J10" s="75">
        <v>21469</v>
      </c>
      <c r="K10" s="86">
        <v>31901</v>
      </c>
    </row>
    <row r="11" spans="1:11" s="3" customFormat="1" x14ac:dyDescent="0.25">
      <c r="A11" s="11" t="s">
        <v>9</v>
      </c>
      <c r="B11" s="11"/>
      <c r="C11" s="88">
        <f t="shared" ref="C11:I11" si="0">SUM(C6:C10)</f>
        <v>64921</v>
      </c>
      <c r="D11" s="89">
        <f t="shared" si="0"/>
        <v>79624</v>
      </c>
      <c r="E11" s="88">
        <f t="shared" si="0"/>
        <v>36812</v>
      </c>
      <c r="F11" s="89">
        <f t="shared" si="0"/>
        <v>38252</v>
      </c>
      <c r="G11" s="88">
        <f t="shared" si="0"/>
        <v>38320</v>
      </c>
      <c r="H11" s="89">
        <f t="shared" si="0"/>
        <v>44238</v>
      </c>
      <c r="I11" s="88">
        <f t="shared" si="0"/>
        <v>32798</v>
      </c>
      <c r="J11" s="89">
        <f t="shared" ref="J11:K11" si="1">SUM(J6:J10)</f>
        <v>22479</v>
      </c>
      <c r="K11" s="88">
        <f t="shared" si="1"/>
        <v>33742</v>
      </c>
    </row>
  </sheetData>
  <mergeCells count="6">
    <mergeCell ref="I4:J4"/>
    <mergeCell ref="A1:G1"/>
    <mergeCell ref="A2:G2"/>
    <mergeCell ref="C4:D4"/>
    <mergeCell ref="E4:F4"/>
    <mergeCell ref="G4:H4"/>
  </mergeCells>
  <pageMargins left="0.7" right="0.7" top="0.75" bottom="0.75" header="0.3" footer="0.3"/>
  <pageSetup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4D982-029D-4DDD-A6BF-BE16CDA296FA}">
  <sheetPr>
    <tabColor theme="9" tint="0.39997558519241921"/>
    <pageSetUpPr fitToPage="1"/>
  </sheetPr>
  <dimension ref="A1:L18"/>
  <sheetViews>
    <sheetView zoomScale="140" zoomScaleNormal="140" workbookViewId="0">
      <selection activeCell="A14" sqref="A14"/>
    </sheetView>
  </sheetViews>
  <sheetFormatPr defaultColWidth="9.140625" defaultRowHeight="15" x14ac:dyDescent="0.25"/>
  <cols>
    <col min="1" max="1" width="22.28515625" style="1" customWidth="1"/>
    <col min="2" max="6" width="11.42578125" style="1" customWidth="1"/>
    <col min="7" max="12" width="10.7109375" style="1" customWidth="1"/>
    <col min="13" max="13" width="9.140625" style="1"/>
    <col min="14" max="14" width="10.7109375" style="1" customWidth="1"/>
    <col min="15" max="16384" width="9.140625" style="1"/>
  </cols>
  <sheetData>
    <row r="1" spans="1:12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</row>
    <row r="2" spans="1:12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4" spans="1:12" s="12" customFormat="1" ht="14.25" x14ac:dyDescent="0.2">
      <c r="A4" s="2" t="s">
        <v>62</v>
      </c>
      <c r="B4" s="437" t="s">
        <v>3</v>
      </c>
      <c r="C4" s="437"/>
      <c r="D4" s="437" t="s">
        <v>4</v>
      </c>
      <c r="E4" s="437"/>
      <c r="F4" s="437" t="s">
        <v>307</v>
      </c>
      <c r="G4" s="437"/>
      <c r="H4" s="11" t="s">
        <v>570</v>
      </c>
    </row>
    <row r="5" spans="1:12" x14ac:dyDescent="0.25">
      <c r="A5" s="4"/>
      <c r="B5" s="81" t="s">
        <v>6</v>
      </c>
      <c r="C5" s="72" t="s">
        <v>7</v>
      </c>
      <c r="D5" s="81" t="s">
        <v>6</v>
      </c>
      <c r="E5" s="72" t="s">
        <v>7</v>
      </c>
      <c r="F5" s="81" t="s">
        <v>6</v>
      </c>
      <c r="G5" s="72" t="s">
        <v>7</v>
      </c>
      <c r="H5" s="81" t="s">
        <v>606</v>
      </c>
    </row>
    <row r="6" spans="1:12" x14ac:dyDescent="0.25">
      <c r="A6" s="4" t="s">
        <v>63</v>
      </c>
      <c r="B6" s="82">
        <v>1</v>
      </c>
      <c r="C6" s="83">
        <v>15000</v>
      </c>
      <c r="D6" s="82">
        <v>1</v>
      </c>
      <c r="E6" s="75"/>
      <c r="F6" s="82">
        <v>1</v>
      </c>
      <c r="G6" s="75">
        <v>2500</v>
      </c>
      <c r="H6" s="88">
        <v>10000</v>
      </c>
    </row>
    <row r="8" spans="1:12" x14ac:dyDescent="0.25">
      <c r="A8" s="19" t="s">
        <v>572</v>
      </c>
      <c r="B8" s="248">
        <v>17604</v>
      </c>
    </row>
    <row r="9" spans="1:12" x14ac:dyDescent="0.25">
      <c r="A9" s="247"/>
    </row>
    <row r="10" spans="1:12" x14ac:dyDescent="0.25">
      <c r="A10" s="1" t="s">
        <v>573</v>
      </c>
      <c r="C10" s="154">
        <v>2500</v>
      </c>
    </row>
    <row r="11" spans="1:12" x14ac:dyDescent="0.25">
      <c r="A11" s="1" t="s">
        <v>574</v>
      </c>
      <c r="C11" s="182">
        <f>B8-C10</f>
        <v>15104</v>
      </c>
    </row>
    <row r="13" spans="1:12" x14ac:dyDescent="0.25">
      <c r="A13" s="1" t="s">
        <v>639</v>
      </c>
      <c r="B13" s="154">
        <v>2500</v>
      </c>
      <c r="C13" s="154" t="s">
        <v>610</v>
      </c>
    </row>
    <row r="14" spans="1:12" x14ac:dyDescent="0.25">
      <c r="A14" s="1" t="s">
        <v>608</v>
      </c>
      <c r="B14" s="154">
        <v>20000</v>
      </c>
      <c r="C14" s="154" t="s">
        <v>609</v>
      </c>
    </row>
    <row r="15" spans="1:12" x14ac:dyDescent="0.25">
      <c r="A15"/>
      <c r="B15"/>
    </row>
    <row r="16" spans="1:12" x14ac:dyDescent="0.25">
      <c r="A16" s="59" t="s">
        <v>636</v>
      </c>
    </row>
    <row r="17" spans="1:1" x14ac:dyDescent="0.25">
      <c r="A17" s="59" t="s">
        <v>637</v>
      </c>
    </row>
    <row r="18" spans="1:1" x14ac:dyDescent="0.25">
      <c r="A18" s="59" t="s">
        <v>638</v>
      </c>
    </row>
  </sheetData>
  <mergeCells count="5">
    <mergeCell ref="A1:L1"/>
    <mergeCell ref="A2:L2"/>
    <mergeCell ref="B4:C4"/>
    <mergeCell ref="D4:E4"/>
    <mergeCell ref="F4:G4"/>
  </mergeCells>
  <pageMargins left="0.7" right="0.7" top="0.75" bottom="0.75" header="0.3" footer="0.3"/>
  <pageSetup scale="85" fitToHeight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43AD-8841-4E09-856D-70CE5AC25E19}">
  <sheetPr>
    <tabColor theme="9" tint="0.39997558519241921"/>
    <pageSetUpPr fitToPage="1"/>
  </sheetPr>
  <dimension ref="A1:K39"/>
  <sheetViews>
    <sheetView workbookViewId="0">
      <selection activeCell="B17" sqref="B17"/>
    </sheetView>
  </sheetViews>
  <sheetFormatPr defaultColWidth="9.140625" defaultRowHeight="15" x14ac:dyDescent="0.25"/>
  <cols>
    <col min="1" max="1" width="35.28515625" style="1" customWidth="1"/>
    <col min="2" max="2" width="11.7109375" style="1" customWidth="1"/>
    <col min="3" max="3" width="10" style="1" bestFit="1" customWidth="1"/>
    <col min="4" max="7" width="9.140625" style="1"/>
    <col min="8" max="9" width="10.42578125" style="1" customWidth="1"/>
    <col min="10" max="11" width="9.140625" style="1"/>
    <col min="12" max="12" width="10" style="1" customWidth="1"/>
    <col min="13" max="16384" width="9.140625" style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6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6"/>
    </row>
    <row r="4" spans="1:11" s="12" customFormat="1" ht="14.25" x14ac:dyDescent="0.2">
      <c r="A4" s="5" t="s">
        <v>374</v>
      </c>
      <c r="B4" s="442" t="s">
        <v>3</v>
      </c>
      <c r="C4" s="443"/>
      <c r="D4" s="454" t="s">
        <v>4</v>
      </c>
      <c r="E4" s="455"/>
      <c r="F4" s="456" t="s">
        <v>725</v>
      </c>
      <c r="G4" s="456"/>
      <c r="H4" s="226" t="s">
        <v>570</v>
      </c>
    </row>
    <row r="5" spans="1:11" x14ac:dyDescent="0.25">
      <c r="A5" s="4"/>
      <c r="B5" s="81" t="s">
        <v>6</v>
      </c>
      <c r="C5" s="72" t="s">
        <v>7</v>
      </c>
      <c r="D5" s="81" t="s">
        <v>6</v>
      </c>
      <c r="E5" s="72" t="s">
        <v>7</v>
      </c>
      <c r="F5" s="81" t="s">
        <v>6</v>
      </c>
      <c r="G5" s="72" t="s">
        <v>7</v>
      </c>
      <c r="H5" s="81" t="s">
        <v>721</v>
      </c>
    </row>
    <row r="6" spans="1:11" x14ac:dyDescent="0.25">
      <c r="A6" s="4" t="s">
        <v>375</v>
      </c>
      <c r="B6" s="82">
        <v>56474</v>
      </c>
      <c r="C6" s="83">
        <v>54010.400000000001</v>
      </c>
      <c r="D6" s="86">
        <v>56716</v>
      </c>
      <c r="E6" s="75">
        <v>54290</v>
      </c>
      <c r="F6" s="86">
        <f>14379+31792+7600+150+2669</f>
        <v>56590</v>
      </c>
      <c r="G6" s="75">
        <v>40478.25</v>
      </c>
      <c r="H6" s="86"/>
    </row>
    <row r="7" spans="1:11" s="12" customFormat="1" ht="14.25" x14ac:dyDescent="0.2">
      <c r="A7" s="11" t="s">
        <v>9</v>
      </c>
      <c r="B7" s="88">
        <f t="shared" ref="B7:F7" si="0">SUM(B6:B6)</f>
        <v>56474</v>
      </c>
      <c r="C7" s="89">
        <f t="shared" si="0"/>
        <v>54010.400000000001</v>
      </c>
      <c r="D7" s="88">
        <f t="shared" si="0"/>
        <v>56716</v>
      </c>
      <c r="E7" s="89">
        <f t="shared" si="0"/>
        <v>54290</v>
      </c>
      <c r="F7" s="88">
        <f t="shared" si="0"/>
        <v>56590</v>
      </c>
      <c r="G7" s="89">
        <f t="shared" ref="G7" si="1">SUM(G6:G6)</f>
        <v>40478.25</v>
      </c>
      <c r="H7" s="88">
        <f>B18</f>
        <v>58439</v>
      </c>
    </row>
    <row r="8" spans="1:11" x14ac:dyDescent="0.25">
      <c r="A8" s="59" t="s">
        <v>726</v>
      </c>
    </row>
    <row r="9" spans="1:11" x14ac:dyDescent="0.25">
      <c r="G9" s="1" t="s">
        <v>720</v>
      </c>
    </row>
    <row r="10" spans="1:11" x14ac:dyDescent="0.25">
      <c r="A10" s="11" t="s">
        <v>500</v>
      </c>
      <c r="B10" s="4" t="s">
        <v>719</v>
      </c>
    </row>
    <row r="11" spans="1:11" x14ac:dyDescent="0.25">
      <c r="A11" s="4" t="s">
        <v>507</v>
      </c>
      <c r="B11" s="48">
        <v>14287</v>
      </c>
    </row>
    <row r="12" spans="1:11" x14ac:dyDescent="0.25">
      <c r="A12" s="4" t="s">
        <v>501</v>
      </c>
      <c r="B12" s="48">
        <v>33552</v>
      </c>
    </row>
    <row r="13" spans="1:11" x14ac:dyDescent="0.25">
      <c r="A13" s="4" t="s">
        <v>502</v>
      </c>
      <c r="B13" s="48">
        <v>11511</v>
      </c>
    </row>
    <row r="14" spans="1:11" x14ac:dyDescent="0.25">
      <c r="A14" s="4" t="s">
        <v>503</v>
      </c>
      <c r="B14" s="48">
        <v>7600</v>
      </c>
    </row>
    <row r="15" spans="1:11" x14ac:dyDescent="0.25">
      <c r="A15" s="4" t="s">
        <v>504</v>
      </c>
      <c r="B15" s="48">
        <v>150</v>
      </c>
    </row>
    <row r="16" spans="1:11" x14ac:dyDescent="0.25">
      <c r="A16" s="4" t="s">
        <v>505</v>
      </c>
      <c r="B16" s="48">
        <v>2850</v>
      </c>
    </row>
    <row r="17" spans="1:2" x14ac:dyDescent="0.25">
      <c r="A17" s="4" t="s">
        <v>497</v>
      </c>
      <c r="B17" s="70">
        <f>SUM(B11:B16)</f>
        <v>69950</v>
      </c>
    </row>
    <row r="18" spans="1:2" x14ac:dyDescent="0.25">
      <c r="A18" s="4" t="s">
        <v>506</v>
      </c>
      <c r="B18" s="70">
        <f>B17-B13</f>
        <v>58439</v>
      </c>
    </row>
    <row r="20" spans="1:2" x14ac:dyDescent="0.25">
      <c r="A20" s="11" t="s">
        <v>500</v>
      </c>
      <c r="B20" s="4" t="s">
        <v>64</v>
      </c>
    </row>
    <row r="21" spans="1:2" x14ac:dyDescent="0.25">
      <c r="A21" s="4" t="s">
        <v>507</v>
      </c>
      <c r="B21" s="48">
        <v>14379</v>
      </c>
    </row>
    <row r="22" spans="1:2" x14ac:dyDescent="0.25">
      <c r="A22" s="4" t="s">
        <v>501</v>
      </c>
      <c r="B22" s="48">
        <v>31792</v>
      </c>
    </row>
    <row r="23" spans="1:2" x14ac:dyDescent="0.25">
      <c r="A23" s="4" t="s">
        <v>502</v>
      </c>
      <c r="B23" s="48">
        <v>11042</v>
      </c>
    </row>
    <row r="24" spans="1:2" x14ac:dyDescent="0.25">
      <c r="A24" s="4" t="s">
        <v>503</v>
      </c>
      <c r="B24" s="48">
        <v>7600</v>
      </c>
    </row>
    <row r="25" spans="1:2" x14ac:dyDescent="0.25">
      <c r="A25" s="4" t="s">
        <v>504</v>
      </c>
      <c r="B25" s="48">
        <v>150</v>
      </c>
    </row>
    <row r="26" spans="1:2" x14ac:dyDescent="0.25">
      <c r="A26" s="4" t="s">
        <v>505</v>
      </c>
      <c r="B26" s="48">
        <v>2669</v>
      </c>
    </row>
    <row r="27" spans="1:2" x14ac:dyDescent="0.25">
      <c r="A27" s="4" t="s">
        <v>497</v>
      </c>
      <c r="B27" s="70">
        <f>SUM(B21:B26)</f>
        <v>67632</v>
      </c>
    </row>
    <row r="28" spans="1:2" x14ac:dyDescent="0.25">
      <c r="A28" s="4" t="s">
        <v>506</v>
      </c>
      <c r="B28" s="70">
        <f>B27-B23</f>
        <v>56590</v>
      </c>
    </row>
    <row r="31" spans="1:2" x14ac:dyDescent="0.25">
      <c r="A31" s="11" t="s">
        <v>500</v>
      </c>
      <c r="B31" s="4" t="s">
        <v>533</v>
      </c>
    </row>
    <row r="32" spans="1:2" x14ac:dyDescent="0.25">
      <c r="A32" s="4" t="s">
        <v>507</v>
      </c>
      <c r="B32" s="48">
        <f>14923+868</f>
        <v>15791</v>
      </c>
    </row>
    <row r="33" spans="1:2" x14ac:dyDescent="0.25">
      <c r="A33" s="4" t="s">
        <v>501</v>
      </c>
      <c r="B33" s="48">
        <v>30749</v>
      </c>
    </row>
    <row r="34" spans="1:2" x14ac:dyDescent="0.25">
      <c r="A34" s="4" t="s">
        <v>502</v>
      </c>
      <c r="B34" s="48">
        <v>10617</v>
      </c>
    </row>
    <row r="35" spans="1:2" x14ac:dyDescent="0.25">
      <c r="A35" s="4" t="s">
        <v>503</v>
      </c>
      <c r="B35" s="48">
        <v>7600</v>
      </c>
    </row>
    <row r="36" spans="1:2" x14ac:dyDescent="0.25">
      <c r="A36" s="4" t="s">
        <v>504</v>
      </c>
      <c r="B36" s="48">
        <v>150</v>
      </c>
    </row>
    <row r="37" spans="1:2" x14ac:dyDescent="0.25">
      <c r="A37" s="4" t="s">
        <v>505</v>
      </c>
      <c r="B37" s="48">
        <v>2426</v>
      </c>
    </row>
    <row r="38" spans="1:2" x14ac:dyDescent="0.25">
      <c r="A38" s="4" t="s">
        <v>497</v>
      </c>
      <c r="B38" s="70">
        <f>SUM(B32:B37)</f>
        <v>67333</v>
      </c>
    </row>
    <row r="39" spans="1:2" x14ac:dyDescent="0.25">
      <c r="A39" s="4" t="s">
        <v>506</v>
      </c>
      <c r="B39" s="70">
        <f>B38-B34</f>
        <v>56716</v>
      </c>
    </row>
  </sheetData>
  <mergeCells count="5">
    <mergeCell ref="A1:J1"/>
    <mergeCell ref="A2:J2"/>
    <mergeCell ref="B4:C4"/>
    <mergeCell ref="D4:E4"/>
    <mergeCell ref="F4:G4"/>
  </mergeCells>
  <pageMargins left="0.7" right="0.7" top="0.75" bottom="0.75" header="0.3" footer="0.3"/>
  <pageSetup scale="73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6C451-940C-419B-8587-69AD0CC2953F}">
  <sheetPr>
    <tabColor theme="9" tint="0.39997558519241921"/>
    <pageSetUpPr fitToPage="1"/>
  </sheetPr>
  <dimension ref="A1:L15"/>
  <sheetViews>
    <sheetView workbookViewId="0">
      <selection activeCell="C26" sqref="C25:C26"/>
    </sheetView>
  </sheetViews>
  <sheetFormatPr defaultColWidth="9.140625" defaultRowHeight="15" x14ac:dyDescent="0.25"/>
  <cols>
    <col min="1" max="1" width="24.7109375" style="1" customWidth="1"/>
    <col min="2" max="2" width="23.140625" style="1" customWidth="1"/>
    <col min="3" max="3" width="11.5703125" style="1" customWidth="1"/>
    <col min="4" max="10" width="10.42578125" style="1" customWidth="1"/>
    <col min="11" max="13" width="10" style="1" bestFit="1" customWidth="1"/>
    <col min="14" max="16384" width="9.140625" style="1"/>
  </cols>
  <sheetData>
    <row r="1" spans="1:12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6"/>
    </row>
    <row r="2" spans="1:12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6"/>
    </row>
    <row r="3" spans="1:12" x14ac:dyDescent="0.25">
      <c r="J3" s="459"/>
      <c r="K3" s="459"/>
      <c r="L3" s="459"/>
    </row>
    <row r="4" spans="1:12" s="12" customFormat="1" ht="14.25" x14ac:dyDescent="0.2">
      <c r="A4" s="5" t="s">
        <v>376</v>
      </c>
      <c r="B4" s="11"/>
      <c r="C4" s="442" t="s">
        <v>3</v>
      </c>
      <c r="D4" s="443"/>
      <c r="E4" s="454" t="s">
        <v>4</v>
      </c>
      <c r="F4" s="455"/>
      <c r="G4" s="456" t="s">
        <v>5</v>
      </c>
      <c r="H4" s="456"/>
      <c r="I4" s="226" t="s">
        <v>570</v>
      </c>
      <c r="J4" s="260">
        <v>0.02</v>
      </c>
      <c r="K4" s="261">
        <v>2.5000000000000001E-2</v>
      </c>
      <c r="L4" s="260">
        <v>0.03</v>
      </c>
    </row>
    <row r="5" spans="1:12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594</v>
      </c>
      <c r="I5" s="81" t="s">
        <v>6</v>
      </c>
      <c r="J5" s="72"/>
      <c r="K5" s="81"/>
      <c r="L5" s="72"/>
    </row>
    <row r="6" spans="1:12" x14ac:dyDescent="0.25">
      <c r="A6" s="4" t="s">
        <v>383</v>
      </c>
      <c r="B6" s="4"/>
      <c r="C6" s="168"/>
      <c r="D6" s="169"/>
      <c r="E6" s="168"/>
      <c r="F6" s="169"/>
      <c r="G6" s="168"/>
      <c r="H6" s="169"/>
      <c r="I6" s="168"/>
      <c r="J6" s="169"/>
      <c r="K6" s="168"/>
      <c r="L6" s="169"/>
    </row>
    <row r="7" spans="1:12" x14ac:dyDescent="0.25">
      <c r="A7" s="4" t="s">
        <v>377</v>
      </c>
      <c r="B7" s="4" t="s">
        <v>378</v>
      </c>
      <c r="C7" s="82">
        <v>208354</v>
      </c>
      <c r="D7" s="83">
        <v>208354</v>
      </c>
      <c r="E7" s="86">
        <v>220335</v>
      </c>
      <c r="F7" s="83">
        <v>220335</v>
      </c>
      <c r="G7" s="86">
        <v>232192</v>
      </c>
      <c r="H7" s="83">
        <v>232192</v>
      </c>
      <c r="I7" s="86">
        <v>244543</v>
      </c>
      <c r="J7" s="83">
        <v>244543</v>
      </c>
      <c r="K7" s="86">
        <v>244543</v>
      </c>
      <c r="L7" s="83">
        <v>244543</v>
      </c>
    </row>
    <row r="8" spans="1:12" x14ac:dyDescent="0.25">
      <c r="A8" s="4" t="s">
        <v>384</v>
      </c>
      <c r="B8" s="4" t="s">
        <v>379</v>
      </c>
      <c r="C8" s="82">
        <v>4213</v>
      </c>
      <c r="D8" s="83">
        <v>2760.97</v>
      </c>
      <c r="E8" s="86">
        <v>4610</v>
      </c>
      <c r="F8" s="83">
        <v>2866.31</v>
      </c>
      <c r="G8" s="86">
        <v>3755.38</v>
      </c>
      <c r="H8" s="83">
        <v>799.26</v>
      </c>
      <c r="I8" s="86">
        <v>4120</v>
      </c>
      <c r="J8" s="83">
        <v>4203</v>
      </c>
      <c r="K8" s="86">
        <v>4233</v>
      </c>
      <c r="L8" s="83">
        <v>4244</v>
      </c>
    </row>
    <row r="9" spans="1:12" x14ac:dyDescent="0.25">
      <c r="A9" s="4" t="s">
        <v>385</v>
      </c>
      <c r="B9" s="4" t="s">
        <v>380</v>
      </c>
      <c r="C9" s="82">
        <v>476000</v>
      </c>
      <c r="D9" s="83">
        <v>433117.66</v>
      </c>
      <c r="E9" s="86">
        <v>449000</v>
      </c>
      <c r="F9" s="83">
        <v>419555.03</v>
      </c>
      <c r="G9" s="86">
        <v>447701</v>
      </c>
      <c r="H9" s="83">
        <v>285196.27</v>
      </c>
      <c r="I9" s="86">
        <v>474000</v>
      </c>
      <c r="J9" s="83">
        <v>474000</v>
      </c>
      <c r="K9" s="86">
        <v>474000</v>
      </c>
      <c r="L9" s="83">
        <v>474000</v>
      </c>
    </row>
    <row r="10" spans="1:12" x14ac:dyDescent="0.25">
      <c r="A10" s="4" t="s">
        <v>386</v>
      </c>
      <c r="B10" s="4" t="s">
        <v>381</v>
      </c>
      <c r="C10" s="82">
        <v>1900</v>
      </c>
      <c r="D10" s="83">
        <v>1515.85</v>
      </c>
      <c r="E10" s="86">
        <v>1900</v>
      </c>
      <c r="F10" s="83">
        <v>1606.36</v>
      </c>
      <c r="G10" s="86">
        <v>1900</v>
      </c>
      <c r="H10" s="83">
        <v>994</v>
      </c>
      <c r="I10" s="86">
        <v>1900</v>
      </c>
      <c r="J10" s="83">
        <v>1900</v>
      </c>
      <c r="K10" s="86">
        <v>1900</v>
      </c>
      <c r="L10" s="83">
        <v>1900</v>
      </c>
    </row>
    <row r="11" spans="1:12" x14ac:dyDescent="0.25">
      <c r="A11" s="4" t="s">
        <v>387</v>
      </c>
      <c r="B11" s="4" t="s">
        <v>382</v>
      </c>
      <c r="C11" s="82">
        <v>40724</v>
      </c>
      <c r="D11" s="83">
        <v>37193.78</v>
      </c>
      <c r="E11" s="86">
        <v>40012</v>
      </c>
      <c r="F11" s="83">
        <v>38663.129999999997</v>
      </c>
      <c r="G11" s="86">
        <v>40612.9</v>
      </c>
      <c r="H11" s="83">
        <v>22246.36</v>
      </c>
      <c r="I11" s="86">
        <v>39823</v>
      </c>
      <c r="J11" s="83">
        <v>40620</v>
      </c>
      <c r="K11" s="86">
        <v>40819</v>
      </c>
      <c r="L11" s="83">
        <v>41018</v>
      </c>
    </row>
    <row r="12" spans="1:12" x14ac:dyDescent="0.25">
      <c r="A12" s="4" t="s">
        <v>388</v>
      </c>
      <c r="B12" s="4" t="s">
        <v>389</v>
      </c>
      <c r="C12" s="82"/>
      <c r="D12" s="83"/>
      <c r="E12" s="86"/>
      <c r="F12" s="83"/>
      <c r="G12" s="86"/>
      <c r="H12" s="83"/>
      <c r="I12" s="86"/>
      <c r="J12" s="83"/>
      <c r="K12" s="86"/>
      <c r="L12" s="83"/>
    </row>
    <row r="13" spans="1:12" s="12" customFormat="1" ht="14.25" x14ac:dyDescent="0.2">
      <c r="A13" s="11" t="s">
        <v>9</v>
      </c>
      <c r="B13" s="11"/>
      <c r="C13" s="88">
        <f t="shared" ref="C13:F13" si="0">SUM(C6:C12)</f>
        <v>731191</v>
      </c>
      <c r="D13" s="89">
        <f t="shared" si="0"/>
        <v>682942.26</v>
      </c>
      <c r="E13" s="88">
        <f t="shared" si="0"/>
        <v>715857</v>
      </c>
      <c r="F13" s="89">
        <f t="shared" si="0"/>
        <v>683025.83000000007</v>
      </c>
      <c r="G13" s="88">
        <v>726161.28</v>
      </c>
      <c r="H13" s="89">
        <f t="shared" ref="H13" si="1">SUM(H6:H12)</f>
        <v>541427.89</v>
      </c>
      <c r="I13" s="88">
        <f>SUM(I7:I11)</f>
        <v>764386</v>
      </c>
      <c r="J13" s="89">
        <f t="shared" ref="J13:L13" si="2">SUM(J7:J11)</f>
        <v>765266</v>
      </c>
      <c r="K13" s="88">
        <f t="shared" si="2"/>
        <v>765495</v>
      </c>
      <c r="L13" s="89">
        <f t="shared" si="2"/>
        <v>765705</v>
      </c>
    </row>
    <row r="14" spans="1:12" x14ac:dyDescent="0.25">
      <c r="J14" s="305">
        <f>J13-I13</f>
        <v>880</v>
      </c>
      <c r="K14" s="306">
        <f>K13-I13</f>
        <v>1109</v>
      </c>
      <c r="L14" s="305">
        <f>L13-I13</f>
        <v>1319</v>
      </c>
    </row>
    <row r="15" spans="1:12" x14ac:dyDescent="0.25">
      <c r="A15" s="59" t="s">
        <v>724</v>
      </c>
    </row>
  </sheetData>
  <mergeCells count="6">
    <mergeCell ref="J3:L3"/>
    <mergeCell ref="A1:H1"/>
    <mergeCell ref="A2:H2"/>
    <mergeCell ref="C4:D4"/>
    <mergeCell ref="E4:F4"/>
    <mergeCell ref="G4:H4"/>
  </mergeCells>
  <pageMargins left="0.7" right="0.7" top="0.75" bottom="0.75" header="0.3" footer="0.3"/>
  <pageSetup scale="80" fitToHeight="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39F0-8EC8-4913-9885-B93DC8E709A3}">
  <sheetPr>
    <pageSetUpPr fitToPage="1"/>
  </sheetPr>
  <dimension ref="A1:O15"/>
  <sheetViews>
    <sheetView workbookViewId="0">
      <selection activeCell="K15" sqref="K15"/>
    </sheetView>
  </sheetViews>
  <sheetFormatPr defaultColWidth="9.140625" defaultRowHeight="15" x14ac:dyDescent="0.25"/>
  <cols>
    <col min="1" max="1" width="22.7109375" style="1" customWidth="1"/>
    <col min="2" max="2" width="23.28515625" style="1" customWidth="1"/>
    <col min="3" max="12" width="10.7109375" style="1" customWidth="1"/>
    <col min="13" max="15" width="10.5703125" style="1" customWidth="1"/>
    <col min="16" max="16384" width="9.140625" style="1"/>
  </cols>
  <sheetData>
    <row r="1" spans="1:15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6"/>
    </row>
    <row r="2" spans="1:15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6"/>
    </row>
    <row r="4" spans="1:15" s="12" customFormat="1" ht="14.25" x14ac:dyDescent="0.2">
      <c r="A4" s="5" t="s">
        <v>390</v>
      </c>
      <c r="B4" s="11"/>
      <c r="C4" s="437" t="s">
        <v>36</v>
      </c>
      <c r="D4" s="437"/>
      <c r="E4" s="456" t="s">
        <v>12</v>
      </c>
      <c r="F4" s="456"/>
      <c r="G4" s="456" t="s">
        <v>2</v>
      </c>
      <c r="H4" s="456"/>
      <c r="I4" s="442" t="s">
        <v>3</v>
      </c>
      <c r="J4" s="443"/>
      <c r="K4" s="454" t="s">
        <v>4</v>
      </c>
      <c r="L4" s="455"/>
      <c r="M4" s="456" t="s">
        <v>5</v>
      </c>
      <c r="N4" s="456"/>
      <c r="O4" s="226" t="s">
        <v>570</v>
      </c>
    </row>
    <row r="5" spans="1:15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  <c r="J5" s="72" t="s">
        <v>7</v>
      </c>
      <c r="K5" s="81" t="s">
        <v>6</v>
      </c>
      <c r="L5" s="72" t="s">
        <v>7</v>
      </c>
      <c r="M5" s="81" t="s">
        <v>6</v>
      </c>
      <c r="N5" s="72" t="s">
        <v>7</v>
      </c>
      <c r="O5" s="81" t="s">
        <v>6</v>
      </c>
    </row>
    <row r="6" spans="1:15" x14ac:dyDescent="0.25">
      <c r="A6" s="4" t="s">
        <v>391</v>
      </c>
      <c r="B6" s="4" t="s">
        <v>393</v>
      </c>
      <c r="C6" s="86">
        <v>254000</v>
      </c>
      <c r="D6" s="83">
        <v>254000</v>
      </c>
      <c r="E6" s="86">
        <v>175000</v>
      </c>
      <c r="F6" s="83">
        <v>175000</v>
      </c>
      <c r="G6" s="82">
        <v>130000</v>
      </c>
      <c r="H6" s="83">
        <v>130000</v>
      </c>
      <c r="I6" s="82">
        <v>150000</v>
      </c>
      <c r="J6" s="83">
        <v>150000</v>
      </c>
      <c r="K6" s="86">
        <v>184000</v>
      </c>
      <c r="L6" s="75">
        <v>184000</v>
      </c>
      <c r="M6" s="86">
        <v>302000</v>
      </c>
      <c r="N6" s="75"/>
      <c r="O6" s="86"/>
    </row>
    <row r="7" spans="1:15" x14ac:dyDescent="0.25">
      <c r="A7" s="4" t="s">
        <v>392</v>
      </c>
      <c r="B7" s="4" t="s">
        <v>394</v>
      </c>
      <c r="C7" s="86">
        <v>12324.91</v>
      </c>
      <c r="D7" s="83">
        <v>12325</v>
      </c>
      <c r="E7" s="86">
        <v>22175</v>
      </c>
      <c r="F7" s="83">
        <v>22175</v>
      </c>
      <c r="G7" s="82"/>
      <c r="H7" s="83"/>
      <c r="I7" s="82"/>
      <c r="J7" s="83"/>
      <c r="K7" s="86"/>
      <c r="L7" s="75"/>
      <c r="M7" s="86"/>
      <c r="N7" s="75"/>
      <c r="O7" s="86"/>
    </row>
    <row r="8" spans="1:15" x14ac:dyDescent="0.25">
      <c r="A8" s="4" t="s">
        <v>396</v>
      </c>
      <c r="B8" s="4" t="s">
        <v>397</v>
      </c>
      <c r="C8" s="86"/>
      <c r="D8" s="83"/>
      <c r="E8" s="86">
        <v>7848.81</v>
      </c>
      <c r="F8" s="83">
        <v>7848.81</v>
      </c>
      <c r="G8" s="82">
        <v>20000</v>
      </c>
      <c r="H8" s="83">
        <v>20000</v>
      </c>
      <c r="I8" s="82">
        <v>10000</v>
      </c>
      <c r="J8" s="83">
        <v>10000</v>
      </c>
      <c r="K8" s="86">
        <v>20000</v>
      </c>
      <c r="L8" s="75">
        <v>20000</v>
      </c>
      <c r="M8" s="86">
        <v>20000</v>
      </c>
      <c r="N8" s="75"/>
      <c r="O8" s="86"/>
    </row>
    <row r="9" spans="1:15" x14ac:dyDescent="0.25">
      <c r="A9" s="4"/>
      <c r="B9" s="4"/>
      <c r="C9" s="86"/>
      <c r="D9" s="83"/>
      <c r="E9" s="86"/>
      <c r="F9" s="83"/>
      <c r="G9" s="82"/>
      <c r="H9" s="83"/>
      <c r="I9" s="82"/>
      <c r="J9" s="83"/>
      <c r="K9" s="86"/>
      <c r="L9" s="75"/>
      <c r="M9" s="86"/>
      <c r="N9" s="75"/>
      <c r="O9" s="86"/>
    </row>
    <row r="10" spans="1:15" s="12" customFormat="1" ht="14.25" x14ac:dyDescent="0.2">
      <c r="A10" s="11" t="s">
        <v>9</v>
      </c>
      <c r="B10" s="11"/>
      <c r="C10" s="88">
        <f>SUM(C6:C9)</f>
        <v>266324.90999999997</v>
      </c>
      <c r="D10" s="89">
        <f t="shared" ref="D10:M10" si="0">SUM(D6:D9)</f>
        <v>266325</v>
      </c>
      <c r="E10" s="88">
        <f t="shared" si="0"/>
        <v>205023.81</v>
      </c>
      <c r="F10" s="89">
        <f t="shared" si="0"/>
        <v>205023.81</v>
      </c>
      <c r="G10" s="88">
        <f t="shared" si="0"/>
        <v>150000</v>
      </c>
      <c r="H10" s="89">
        <f t="shared" si="0"/>
        <v>150000</v>
      </c>
      <c r="I10" s="88">
        <f t="shared" si="0"/>
        <v>160000</v>
      </c>
      <c r="J10" s="89">
        <f t="shared" si="0"/>
        <v>160000</v>
      </c>
      <c r="K10" s="88">
        <f t="shared" si="0"/>
        <v>204000</v>
      </c>
      <c r="L10" s="89">
        <f t="shared" si="0"/>
        <v>204000</v>
      </c>
      <c r="M10" s="88">
        <f t="shared" si="0"/>
        <v>322000</v>
      </c>
      <c r="N10" s="89">
        <f t="shared" ref="N10" si="1">SUM(N6:N9)</f>
        <v>0</v>
      </c>
      <c r="O10" s="88">
        <f t="shared" ref="O10" si="2">SUM(O6:O9)</f>
        <v>0</v>
      </c>
    </row>
    <row r="15" spans="1:15" x14ac:dyDescent="0.25">
      <c r="D15" s="1" t="s">
        <v>395</v>
      </c>
    </row>
  </sheetData>
  <mergeCells count="8">
    <mergeCell ref="M4:N4"/>
    <mergeCell ref="A1:K1"/>
    <mergeCell ref="A2:K2"/>
    <mergeCell ref="C4:D4"/>
    <mergeCell ref="E4:F4"/>
    <mergeCell ref="G4:H4"/>
    <mergeCell ref="I4:J4"/>
    <mergeCell ref="K4:L4"/>
  </mergeCells>
  <pageMargins left="0.25" right="0.25" top="0.75" bottom="0.75" header="0.3" footer="0.3"/>
  <pageSetup scale="81" fitToHeight="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4CFE-4E8A-4C4E-AFDF-79905B259066}">
  <sheetPr>
    <pageSetUpPr fitToPage="1"/>
  </sheetPr>
  <dimension ref="A1:M79"/>
  <sheetViews>
    <sheetView workbookViewId="0">
      <pane ySplit="1" topLeftCell="A49" activePane="bottomLeft" state="frozen"/>
      <selection pane="bottomLeft" activeCell="N37" sqref="N37"/>
    </sheetView>
  </sheetViews>
  <sheetFormatPr defaultColWidth="9.140625" defaultRowHeight="15" x14ac:dyDescent="0.25"/>
  <cols>
    <col min="1" max="1" width="3.7109375" style="1" customWidth="1"/>
    <col min="2" max="2" width="12.42578125" style="1" customWidth="1"/>
    <col min="3" max="3" width="37.85546875" style="1" customWidth="1"/>
    <col min="4" max="5" width="12.140625" style="1" customWidth="1"/>
    <col min="6" max="6" width="12" style="1" customWidth="1"/>
    <col min="7" max="7" width="13.5703125" style="1" customWidth="1"/>
    <col min="8" max="8" width="11.5703125" style="264" customWidth="1"/>
    <col min="9" max="11" width="14.140625" style="1" customWidth="1"/>
    <col min="12" max="12" width="13.5703125" style="1" customWidth="1"/>
    <col min="13" max="13" width="13.140625" style="1" customWidth="1"/>
    <col min="14" max="14" width="17.7109375" style="1" customWidth="1"/>
    <col min="15" max="15" width="9.5703125" style="1" bestFit="1" customWidth="1"/>
    <col min="16" max="16" width="11.140625" style="1" bestFit="1" customWidth="1"/>
    <col min="17" max="16384" width="9.140625" style="1"/>
  </cols>
  <sheetData>
    <row r="1" spans="1:12" ht="26.25" customHeight="1" x14ac:dyDescent="0.25">
      <c r="A1" s="396" t="s">
        <v>798</v>
      </c>
      <c r="B1" s="399" t="s">
        <v>469</v>
      </c>
      <c r="C1" s="399" t="s">
        <v>470</v>
      </c>
      <c r="D1" s="268" t="s">
        <v>4</v>
      </c>
      <c r="E1" s="268" t="s">
        <v>5</v>
      </c>
      <c r="F1" s="268" t="s">
        <v>570</v>
      </c>
      <c r="G1" s="268" t="s">
        <v>598</v>
      </c>
      <c r="H1" s="397" t="s">
        <v>628</v>
      </c>
      <c r="I1" s="4" t="s">
        <v>675</v>
      </c>
      <c r="J1" s="266" t="s">
        <v>676</v>
      </c>
      <c r="K1" s="267" t="s">
        <v>677</v>
      </c>
    </row>
    <row r="2" spans="1:12" ht="15.75" customHeight="1" x14ac:dyDescent="0.25">
      <c r="A2" s="389"/>
      <c r="B2" s="392">
        <v>114</v>
      </c>
      <c r="C2" s="393" t="s">
        <v>315</v>
      </c>
      <c r="D2" s="269">
        <f>'114-Moderator'!H7</f>
        <v>350</v>
      </c>
      <c r="E2" s="269">
        <f>'114-Moderator'!J7</f>
        <v>350</v>
      </c>
      <c r="F2" s="269">
        <f>'114-Moderator'!L7</f>
        <v>350</v>
      </c>
      <c r="G2" s="269">
        <f>F2-E2</f>
        <v>0</v>
      </c>
      <c r="H2" s="390">
        <f t="shared" ref="H2:H33" si="0">G2/F2</f>
        <v>0</v>
      </c>
      <c r="I2" s="48">
        <v>350</v>
      </c>
      <c r="J2" s="48">
        <v>350</v>
      </c>
      <c r="K2" s="48">
        <v>350</v>
      </c>
      <c r="L2" s="56"/>
    </row>
    <row r="3" spans="1:12" ht="15.75" customHeight="1" x14ac:dyDescent="0.25">
      <c r="A3" s="389"/>
      <c r="B3" s="392">
        <v>122</v>
      </c>
      <c r="C3" s="393" t="s">
        <v>316</v>
      </c>
      <c r="D3" s="269">
        <f>'122-Selectboard'!I10</f>
        <v>8500</v>
      </c>
      <c r="E3" s="269">
        <f>'122-Selectboard'!K10</f>
        <v>6500</v>
      </c>
      <c r="F3" s="269">
        <f>'122-Selectboard'!M10</f>
        <v>6500</v>
      </c>
      <c r="G3" s="269">
        <f t="shared" ref="G3:G54" si="1">F3-E3</f>
        <v>0</v>
      </c>
      <c r="H3" s="390">
        <f t="shared" si="0"/>
        <v>0</v>
      </c>
      <c r="I3" s="48">
        <v>6500</v>
      </c>
      <c r="J3" s="48">
        <v>6500</v>
      </c>
      <c r="K3" s="48">
        <v>6500</v>
      </c>
      <c r="L3" s="56"/>
    </row>
    <row r="4" spans="1:12" ht="15.75" customHeight="1" x14ac:dyDescent="0.25">
      <c r="A4" s="389"/>
      <c r="B4" s="392">
        <v>131</v>
      </c>
      <c r="C4" s="393" t="s">
        <v>317</v>
      </c>
      <c r="D4" s="269">
        <f>'131-Finance'!I6</f>
        <v>300</v>
      </c>
      <c r="E4" s="269">
        <f>'131-Finance'!K6</f>
        <v>300</v>
      </c>
      <c r="F4" s="269">
        <f>'131-Finance'!M6</f>
        <v>300</v>
      </c>
      <c r="G4" s="269">
        <f t="shared" si="1"/>
        <v>0</v>
      </c>
      <c r="H4" s="390">
        <f t="shared" si="0"/>
        <v>0</v>
      </c>
      <c r="I4" s="48">
        <v>300</v>
      </c>
      <c r="J4" s="48">
        <v>300</v>
      </c>
      <c r="K4" s="48">
        <v>300</v>
      </c>
      <c r="L4" s="56"/>
    </row>
    <row r="5" spans="1:12" ht="15.75" customHeight="1" x14ac:dyDescent="0.25">
      <c r="A5" s="389"/>
      <c r="B5" s="392">
        <v>132</v>
      </c>
      <c r="C5" s="393" t="s">
        <v>318</v>
      </c>
      <c r="D5" s="269">
        <f>'132-Reserve Fund'!L6</f>
        <v>40000</v>
      </c>
      <c r="E5" s="269">
        <f>'132-Reserve Fund'!N6</f>
        <v>40000</v>
      </c>
      <c r="F5" s="269">
        <f>'132-Reserve Fund'!P6</f>
        <v>40000</v>
      </c>
      <c r="G5" s="269">
        <f t="shared" si="1"/>
        <v>0</v>
      </c>
      <c r="H5" s="390">
        <f t="shared" si="0"/>
        <v>0</v>
      </c>
      <c r="I5" s="48">
        <v>40000</v>
      </c>
      <c r="J5" s="48">
        <v>40000</v>
      </c>
      <c r="K5" s="48">
        <v>40000</v>
      </c>
      <c r="L5" s="56"/>
    </row>
    <row r="6" spans="1:12" ht="15.75" customHeight="1" x14ac:dyDescent="0.25">
      <c r="A6" s="389"/>
      <c r="B6" s="392">
        <v>135</v>
      </c>
      <c r="C6" s="393" t="s">
        <v>427</v>
      </c>
      <c r="D6" s="269">
        <f>'135-Auditor'!D6</f>
        <v>1</v>
      </c>
      <c r="E6" s="269">
        <v>1</v>
      </c>
      <c r="F6" s="269">
        <f>'135-Auditor'!H6</f>
        <v>10000</v>
      </c>
      <c r="G6" s="269">
        <f t="shared" si="1"/>
        <v>9999</v>
      </c>
      <c r="H6" s="390">
        <f t="shared" si="0"/>
        <v>0.99990000000000001</v>
      </c>
      <c r="I6" s="48">
        <v>10000</v>
      </c>
      <c r="J6" s="48">
        <v>10000</v>
      </c>
      <c r="K6" s="48">
        <v>10000</v>
      </c>
      <c r="L6" s="56"/>
    </row>
    <row r="7" spans="1:12" ht="15.75" customHeight="1" x14ac:dyDescent="0.25">
      <c r="A7" s="389"/>
      <c r="B7" s="392">
        <v>141</v>
      </c>
      <c r="C7" s="393" t="s">
        <v>319</v>
      </c>
      <c r="D7" s="269">
        <f>'141-Assessors'!E22</f>
        <v>12008</v>
      </c>
      <c r="E7" s="400">
        <f>'141-Assessors'!G22</f>
        <v>12075</v>
      </c>
      <c r="F7" s="400">
        <f>'141-Assessors'!I22</f>
        <v>15703.15</v>
      </c>
      <c r="G7" s="269">
        <f t="shared" si="1"/>
        <v>3628.1499999999996</v>
      </c>
      <c r="H7" s="390">
        <f t="shared" si="0"/>
        <v>0.2310460003247756</v>
      </c>
      <c r="I7" s="48">
        <f>'141-Assessors'!I22</f>
        <v>15703.15</v>
      </c>
      <c r="J7" s="48">
        <f>'141-Assessors'!I22</f>
        <v>15703.15</v>
      </c>
      <c r="K7" s="48">
        <f>'141-Assessors'!I22</f>
        <v>15703.15</v>
      </c>
      <c r="L7" s="56"/>
    </row>
    <row r="8" spans="1:12" ht="15.75" customHeight="1" x14ac:dyDescent="0.25">
      <c r="A8" s="389"/>
      <c r="B8" s="401">
        <v>141</v>
      </c>
      <c r="C8" s="402" t="s">
        <v>524</v>
      </c>
      <c r="D8" s="270">
        <f>'141-Assessors'!E11</f>
        <v>61511</v>
      </c>
      <c r="E8" s="270">
        <f>'141-Assessors'!G11</f>
        <v>60001.993000000002</v>
      </c>
      <c r="F8" s="270">
        <f>'141-Assessors'!I11</f>
        <v>53353.479999999996</v>
      </c>
      <c r="G8" s="270">
        <f t="shared" si="1"/>
        <v>-6648.5130000000063</v>
      </c>
      <c r="H8" s="398">
        <f t="shared" si="0"/>
        <v>-0.12461254636061241</v>
      </c>
      <c r="I8" s="407">
        <f>('141-Assessors'!I7*1.02)+'141-Assessors'!I6+('141-Assessors'!I8*1.02)+('141-Assessors'!I9*1.02)</f>
        <v>54318.549599999998</v>
      </c>
      <c r="J8" s="407">
        <f>('141-Assessors'!I7*1.025)+'141-Assessors'!I6+('141-Assessors'!I8*1.025)+('141-Assessors'!I9*1.025)</f>
        <v>54559.816999999995</v>
      </c>
      <c r="K8" s="407">
        <f>('141-Assessors'!I7*1.03)+'141-Assessors'!I6+('141-Assessors'!I8*1.03)+('141-Assessors'!I9*1.03)</f>
        <v>54801.084400000007</v>
      </c>
      <c r="L8" s="56"/>
    </row>
    <row r="9" spans="1:12" ht="15.75" customHeight="1" x14ac:dyDescent="0.25">
      <c r="A9" s="389"/>
      <c r="B9" s="392">
        <v>145</v>
      </c>
      <c r="C9" s="393" t="s">
        <v>428</v>
      </c>
      <c r="D9" s="269">
        <f>'145-Treasurer'!E17</f>
        <v>17783</v>
      </c>
      <c r="E9" s="269">
        <f>'145-Treasurer'!G17</f>
        <v>20919</v>
      </c>
      <c r="F9" s="269">
        <f>'145-Treasurer'!I17</f>
        <v>19795</v>
      </c>
      <c r="G9" s="269">
        <f t="shared" si="1"/>
        <v>-1124</v>
      </c>
      <c r="H9" s="390">
        <f t="shared" si="0"/>
        <v>-5.6782015660520331E-2</v>
      </c>
      <c r="I9" s="48">
        <v>19795</v>
      </c>
      <c r="J9" s="48">
        <v>19795</v>
      </c>
      <c r="K9" s="48">
        <v>19795</v>
      </c>
      <c r="L9" s="56"/>
    </row>
    <row r="10" spans="1:12" ht="15.75" customHeight="1" x14ac:dyDescent="0.25">
      <c r="A10" s="389"/>
      <c r="B10" s="401">
        <v>145</v>
      </c>
      <c r="C10" s="403" t="s">
        <v>525</v>
      </c>
      <c r="D10" s="270">
        <f>'145-Treasurer'!E9</f>
        <v>63391</v>
      </c>
      <c r="E10" s="270">
        <f>'145-Treasurer'!G9</f>
        <v>66530.850000000006</v>
      </c>
      <c r="F10" s="270">
        <f>'145-Treasurer'!I9</f>
        <v>66531</v>
      </c>
      <c r="G10" s="270">
        <f t="shared" si="1"/>
        <v>0.14999999999417923</v>
      </c>
      <c r="H10" s="398">
        <f t="shared" si="0"/>
        <v>2.2545880866690601E-6</v>
      </c>
      <c r="I10" s="407">
        <f>F10*1.02</f>
        <v>67861.62</v>
      </c>
      <c r="J10" s="407">
        <f>F10*1.025</f>
        <v>68194.274999999994</v>
      </c>
      <c r="K10" s="407">
        <f>F10*1.03</f>
        <v>68526.930000000008</v>
      </c>
      <c r="L10" s="56"/>
    </row>
    <row r="11" spans="1:12" ht="15.75" customHeight="1" x14ac:dyDescent="0.25">
      <c r="A11" s="389"/>
      <c r="B11" s="392">
        <v>150</v>
      </c>
      <c r="C11" s="393" t="s">
        <v>320</v>
      </c>
      <c r="D11" s="269">
        <f>'150-Town Admin'!F20</f>
        <v>18700</v>
      </c>
      <c r="E11" s="269">
        <f>'150-Town Admin'!H20</f>
        <v>20600</v>
      </c>
      <c r="F11" s="269">
        <f>'150-Town Admin'!J20</f>
        <v>18200</v>
      </c>
      <c r="G11" s="269">
        <f t="shared" si="1"/>
        <v>-2400</v>
      </c>
      <c r="H11" s="390">
        <f t="shared" si="0"/>
        <v>-0.13186813186813187</v>
      </c>
      <c r="I11" s="48">
        <v>18200</v>
      </c>
      <c r="J11" s="48">
        <v>18200</v>
      </c>
      <c r="K11" s="48">
        <v>18200</v>
      </c>
      <c r="L11" s="56"/>
    </row>
    <row r="12" spans="1:12" ht="15.75" customHeight="1" x14ac:dyDescent="0.25">
      <c r="A12" s="389"/>
      <c r="B12" s="401">
        <v>150</v>
      </c>
      <c r="C12" s="403" t="s">
        <v>526</v>
      </c>
      <c r="D12" s="270">
        <f>'150-Town Admin'!F9</f>
        <v>106380</v>
      </c>
      <c r="E12" s="270">
        <f>'150-Town Admin'!H9</f>
        <v>92040</v>
      </c>
      <c r="F12" s="270">
        <f>'150-Town Admin'!J9</f>
        <v>93080</v>
      </c>
      <c r="G12" s="270">
        <f t="shared" si="1"/>
        <v>1040</v>
      </c>
      <c r="H12" s="398">
        <f t="shared" si="0"/>
        <v>1.11731843575419E-2</v>
      </c>
      <c r="I12" s="407">
        <f>F12*1.02</f>
        <v>94941.6</v>
      </c>
      <c r="J12" s="407">
        <f>F12*1.025</f>
        <v>95406.999999999985</v>
      </c>
      <c r="K12" s="407">
        <f>F12*1.03</f>
        <v>95872.400000000009</v>
      </c>
      <c r="L12" s="56"/>
    </row>
    <row r="13" spans="1:12" ht="15.75" customHeight="1" x14ac:dyDescent="0.25">
      <c r="A13" s="389"/>
      <c r="B13" s="392">
        <v>151</v>
      </c>
      <c r="C13" s="393" t="s">
        <v>429</v>
      </c>
      <c r="D13" s="269">
        <f>'151-Legal'!E6</f>
        <v>10000</v>
      </c>
      <c r="E13" s="269">
        <f>'151-Legal'!I6</f>
        <v>11000</v>
      </c>
      <c r="F13" s="269">
        <f>'151-Legal'!K6</f>
        <v>10000</v>
      </c>
      <c r="G13" s="269">
        <f t="shared" si="1"/>
        <v>-1000</v>
      </c>
      <c r="H13" s="390">
        <f t="shared" si="0"/>
        <v>-0.1</v>
      </c>
      <c r="I13" s="48">
        <v>10000</v>
      </c>
      <c r="J13" s="48">
        <v>10000</v>
      </c>
      <c r="K13" s="48">
        <v>10000</v>
      </c>
      <c r="L13" s="56"/>
    </row>
    <row r="14" spans="1:12" ht="15.75" customHeight="1" x14ac:dyDescent="0.25">
      <c r="A14" s="389"/>
      <c r="B14" s="392">
        <v>159</v>
      </c>
      <c r="C14" s="393" t="s">
        <v>321</v>
      </c>
      <c r="D14" s="269">
        <f>'159-IT'!J9</f>
        <v>37586</v>
      </c>
      <c r="E14" s="269">
        <v>42242</v>
      </c>
      <c r="F14" s="269">
        <f>'159-IT'!N9</f>
        <v>44825</v>
      </c>
      <c r="G14" s="269">
        <f t="shared" si="1"/>
        <v>2583</v>
      </c>
      <c r="H14" s="390">
        <f t="shared" si="0"/>
        <v>5.7624093697713333E-2</v>
      </c>
      <c r="I14" s="48">
        <f>F14</f>
        <v>44825</v>
      </c>
      <c r="J14" s="48">
        <f>F14</f>
        <v>44825</v>
      </c>
      <c r="K14" s="48">
        <f>F14</f>
        <v>44825</v>
      </c>
      <c r="L14" s="56"/>
    </row>
    <row r="15" spans="1:12" ht="15.75" customHeight="1" x14ac:dyDescent="0.25">
      <c r="A15" s="389"/>
      <c r="B15" s="392">
        <v>161</v>
      </c>
      <c r="C15" s="393" t="s">
        <v>322</v>
      </c>
      <c r="D15" s="269">
        <f>'161-Town Clerk'!E18</f>
        <v>7750</v>
      </c>
      <c r="E15" s="269">
        <f>'161-Town Clerk'!G18</f>
        <v>7750</v>
      </c>
      <c r="F15" s="269">
        <f>'161-Town Clerk'!I18</f>
        <v>10145</v>
      </c>
      <c r="G15" s="269">
        <f t="shared" si="1"/>
        <v>2395</v>
      </c>
      <c r="H15" s="390">
        <f t="shared" si="0"/>
        <v>0.23607688516510597</v>
      </c>
      <c r="I15" s="48">
        <f>F15</f>
        <v>10145</v>
      </c>
      <c r="J15" s="48">
        <f>F15</f>
        <v>10145</v>
      </c>
      <c r="K15" s="48">
        <f>F15</f>
        <v>10145</v>
      </c>
      <c r="L15" s="56"/>
    </row>
    <row r="16" spans="1:12" ht="15.75" customHeight="1" x14ac:dyDescent="0.25">
      <c r="A16" s="389"/>
      <c r="B16" s="401">
        <v>161</v>
      </c>
      <c r="C16" s="403" t="s">
        <v>527</v>
      </c>
      <c r="D16" s="270">
        <f>'161-Town Clerk'!E8</f>
        <v>37500</v>
      </c>
      <c r="E16" s="270">
        <f>'161-Town Clerk'!G8</f>
        <v>40382.4375</v>
      </c>
      <c r="F16" s="270">
        <f>'161-Town Clerk'!I8</f>
        <v>38625</v>
      </c>
      <c r="G16" s="270">
        <f t="shared" si="1"/>
        <v>-1757.4375</v>
      </c>
      <c r="H16" s="398">
        <f t="shared" si="0"/>
        <v>-4.5499999999999999E-2</v>
      </c>
      <c r="I16" s="407">
        <f>F16*1.02</f>
        <v>39397.5</v>
      </c>
      <c r="J16" s="407">
        <f>F16*1.025</f>
        <v>39590.625</v>
      </c>
      <c r="K16" s="407">
        <f>F16*1.03</f>
        <v>39783.75</v>
      </c>
      <c r="L16" s="56"/>
    </row>
    <row r="17" spans="1:12" ht="15.75" customHeight="1" x14ac:dyDescent="0.25">
      <c r="A17" s="389"/>
      <c r="B17" s="392">
        <v>162</v>
      </c>
      <c r="C17" s="393" t="s">
        <v>472</v>
      </c>
      <c r="D17" s="269">
        <f>'162-Registrars'!E9</f>
        <v>1500</v>
      </c>
      <c r="E17" s="269">
        <f>'162-Registrars'!G9</f>
        <v>1700</v>
      </c>
      <c r="F17" s="269">
        <f>'162-Registrars'!I9</f>
        <v>1700</v>
      </c>
      <c r="G17" s="269">
        <f t="shared" si="1"/>
        <v>0</v>
      </c>
      <c r="H17" s="390">
        <f t="shared" si="0"/>
        <v>0</v>
      </c>
      <c r="I17" s="48">
        <v>1700</v>
      </c>
      <c r="J17" s="48">
        <v>1700</v>
      </c>
      <c r="K17" s="48">
        <v>1700</v>
      </c>
      <c r="L17" s="56"/>
    </row>
    <row r="18" spans="1:12" ht="15.75" customHeight="1" x14ac:dyDescent="0.25">
      <c r="A18" s="389"/>
      <c r="B18" s="392">
        <v>163</v>
      </c>
      <c r="C18" s="393" t="s">
        <v>323</v>
      </c>
      <c r="D18" s="269">
        <f>'163-Elections'!E15</f>
        <v>14300</v>
      </c>
      <c r="E18" s="269">
        <f>'163-Elections'!G15</f>
        <v>9600</v>
      </c>
      <c r="F18" s="269">
        <f>'163-Elections'!I15</f>
        <v>10000</v>
      </c>
      <c r="G18" s="269">
        <f t="shared" si="1"/>
        <v>400</v>
      </c>
      <c r="H18" s="390">
        <f t="shared" si="0"/>
        <v>0.04</v>
      </c>
      <c r="I18" s="48">
        <f>F18</f>
        <v>10000</v>
      </c>
      <c r="J18" s="48">
        <f>F18</f>
        <v>10000</v>
      </c>
      <c r="K18" s="48">
        <f>F18</f>
        <v>10000</v>
      </c>
      <c r="L18" s="56"/>
    </row>
    <row r="19" spans="1:12" ht="15.75" customHeight="1" x14ac:dyDescent="0.25">
      <c r="A19" s="389"/>
      <c r="B19" s="392">
        <v>170</v>
      </c>
      <c r="C19" s="393" t="s">
        <v>473</v>
      </c>
      <c r="D19" s="269">
        <f>'170-Open Space'!E13</f>
        <v>3100</v>
      </c>
      <c r="E19" s="269">
        <f>'170-Open Space'!G13</f>
        <v>3100</v>
      </c>
      <c r="F19" s="269">
        <f>'170-Open Space'!I13</f>
        <v>3100</v>
      </c>
      <c r="G19" s="269">
        <f t="shared" si="1"/>
        <v>0</v>
      </c>
      <c r="H19" s="390">
        <f t="shared" si="0"/>
        <v>0</v>
      </c>
      <c r="I19" s="48">
        <v>3100</v>
      </c>
      <c r="J19" s="48">
        <v>3100</v>
      </c>
      <c r="K19" s="48">
        <v>3100</v>
      </c>
      <c r="L19" s="56"/>
    </row>
    <row r="20" spans="1:12" ht="15.75" customHeight="1" x14ac:dyDescent="0.25">
      <c r="A20" s="389"/>
      <c r="B20" s="392">
        <v>171</v>
      </c>
      <c r="C20" s="393" t="s">
        <v>324</v>
      </c>
      <c r="D20" s="269">
        <f>'171-ConComm'!C12</f>
        <v>803</v>
      </c>
      <c r="E20" s="269">
        <f>'171-ConComm'!E12</f>
        <v>807</v>
      </c>
      <c r="F20" s="269">
        <f>'171-ConComm'!G12</f>
        <v>1061</v>
      </c>
      <c r="G20" s="269">
        <f t="shared" si="1"/>
        <v>254</v>
      </c>
      <c r="H20" s="390">
        <f t="shared" si="0"/>
        <v>0.23939679547596607</v>
      </c>
      <c r="I20" s="48">
        <v>1061</v>
      </c>
      <c r="J20" s="48">
        <v>1061</v>
      </c>
      <c r="K20" s="48">
        <v>1061</v>
      </c>
      <c r="L20" s="56"/>
    </row>
    <row r="21" spans="1:12" ht="15.75" customHeight="1" x14ac:dyDescent="0.25">
      <c r="A21" s="389"/>
      <c r="B21" s="392">
        <v>172</v>
      </c>
      <c r="C21" s="393" t="s">
        <v>325</v>
      </c>
      <c r="D21" s="269">
        <f>'172-Agricultural Commission'!E8</f>
        <v>1</v>
      </c>
      <c r="E21" s="269">
        <f>'172-Agricultural Commission'!G8</f>
        <v>1</v>
      </c>
      <c r="F21" s="269">
        <f>'172-Agricultural Commission'!I8</f>
        <v>1</v>
      </c>
      <c r="G21" s="269">
        <f t="shared" si="1"/>
        <v>0</v>
      </c>
      <c r="H21" s="390">
        <f t="shared" si="0"/>
        <v>0</v>
      </c>
      <c r="I21" s="48">
        <v>1</v>
      </c>
      <c r="J21" s="48">
        <v>1</v>
      </c>
      <c r="K21" s="48">
        <v>1</v>
      </c>
      <c r="L21" s="56"/>
    </row>
    <row r="22" spans="1:12" ht="15.75" customHeight="1" x14ac:dyDescent="0.25">
      <c r="A22" s="389"/>
      <c r="B22" s="392">
        <v>175</v>
      </c>
      <c r="C22" s="393" t="s">
        <v>326</v>
      </c>
      <c r="D22" s="269">
        <f>'175-Planning Board'!E15</f>
        <v>2150</v>
      </c>
      <c r="E22" s="269">
        <f>'175-Planning Board'!G15</f>
        <v>2250</v>
      </c>
      <c r="F22" s="269">
        <f>'175-Planning Board'!I15</f>
        <v>2350</v>
      </c>
      <c r="G22" s="269">
        <f t="shared" si="1"/>
        <v>100</v>
      </c>
      <c r="H22" s="390">
        <f t="shared" si="0"/>
        <v>4.2553191489361701E-2</v>
      </c>
      <c r="I22" s="48">
        <f>F22</f>
        <v>2350</v>
      </c>
      <c r="J22" s="48">
        <f>F22</f>
        <v>2350</v>
      </c>
      <c r="K22" s="48">
        <f>F22</f>
        <v>2350</v>
      </c>
      <c r="L22" s="56"/>
    </row>
    <row r="23" spans="1:12" ht="15.75" customHeight="1" x14ac:dyDescent="0.25">
      <c r="A23" s="389"/>
      <c r="B23" s="392">
        <v>176</v>
      </c>
      <c r="C23" s="393" t="s">
        <v>327</v>
      </c>
      <c r="D23" s="269">
        <f>'176-ZBA'!E6</f>
        <v>200</v>
      </c>
      <c r="E23" s="269">
        <f>'176-ZBA'!G6</f>
        <v>200</v>
      </c>
      <c r="F23" s="269">
        <f>'176-ZBA'!I8</f>
        <v>325</v>
      </c>
      <c r="G23" s="269">
        <f t="shared" si="1"/>
        <v>125</v>
      </c>
      <c r="H23" s="390">
        <f t="shared" si="0"/>
        <v>0.38461538461538464</v>
      </c>
      <c r="I23" s="48">
        <v>325</v>
      </c>
      <c r="J23" s="48">
        <v>325</v>
      </c>
      <c r="K23" s="48">
        <v>325</v>
      </c>
      <c r="L23" s="56"/>
    </row>
    <row r="24" spans="1:12" ht="15.75" customHeight="1" x14ac:dyDescent="0.25">
      <c r="A24" s="389"/>
      <c r="B24" s="392">
        <v>190</v>
      </c>
      <c r="C24" s="393" t="s">
        <v>430</v>
      </c>
      <c r="D24" s="269">
        <f>'190-Personnel'!E6</f>
        <v>1</v>
      </c>
      <c r="E24" s="269">
        <f>'190-Personnel'!G6</f>
        <v>1</v>
      </c>
      <c r="F24" s="269">
        <f>'190-Personnel'!I6</f>
        <v>1</v>
      </c>
      <c r="G24" s="269">
        <f t="shared" si="1"/>
        <v>0</v>
      </c>
      <c r="H24" s="390">
        <f t="shared" si="0"/>
        <v>0</v>
      </c>
      <c r="I24" s="48">
        <v>1</v>
      </c>
      <c r="J24" s="48">
        <v>1</v>
      </c>
      <c r="K24" s="48">
        <v>1</v>
      </c>
      <c r="L24" s="56"/>
    </row>
    <row r="25" spans="1:12" ht="15.75" customHeight="1" x14ac:dyDescent="0.25">
      <c r="A25" s="389"/>
      <c r="B25" s="392">
        <v>192</v>
      </c>
      <c r="C25" s="393" t="s">
        <v>431</v>
      </c>
      <c r="D25" s="269">
        <v>59600</v>
      </c>
      <c r="E25" s="269">
        <v>73500</v>
      </c>
      <c r="F25" s="269">
        <f>'192-Public Buildings'!K12</f>
        <v>82500</v>
      </c>
      <c r="G25" s="269">
        <f t="shared" si="1"/>
        <v>9000</v>
      </c>
      <c r="H25" s="390">
        <f t="shared" si="0"/>
        <v>0.10909090909090909</v>
      </c>
      <c r="I25" s="48">
        <f>F25</f>
        <v>82500</v>
      </c>
      <c r="J25" s="48">
        <f>F25</f>
        <v>82500</v>
      </c>
      <c r="K25" s="48">
        <f>F25</f>
        <v>82500</v>
      </c>
      <c r="L25" s="56"/>
    </row>
    <row r="26" spans="1:12" ht="15.75" customHeight="1" x14ac:dyDescent="0.25">
      <c r="A26" s="389"/>
      <c r="B26" s="392">
        <v>193</v>
      </c>
      <c r="C26" s="393" t="s">
        <v>432</v>
      </c>
      <c r="D26" s="269">
        <f>'193-Property Insurance'!E12</f>
        <v>85419</v>
      </c>
      <c r="E26" s="269">
        <f>'193-Property Insurance'!G12</f>
        <v>89053</v>
      </c>
      <c r="F26" s="269">
        <f>'193-Property Insurance'!I12</f>
        <v>89531.684999999998</v>
      </c>
      <c r="G26" s="269">
        <f t="shared" si="1"/>
        <v>478.68499999999767</v>
      </c>
      <c r="H26" s="390">
        <f t="shared" si="0"/>
        <v>5.3465429585067862E-3</v>
      </c>
      <c r="I26" s="48">
        <f>F26</f>
        <v>89531.684999999998</v>
      </c>
      <c r="J26" s="48">
        <f>F26</f>
        <v>89531.684999999998</v>
      </c>
      <c r="K26" s="48">
        <f>F26</f>
        <v>89531.684999999998</v>
      </c>
      <c r="L26" s="56"/>
    </row>
    <row r="27" spans="1:12" ht="15.75" customHeight="1" x14ac:dyDescent="0.25">
      <c r="A27" s="389"/>
      <c r="B27" s="392">
        <v>210</v>
      </c>
      <c r="C27" s="393" t="s">
        <v>433</v>
      </c>
      <c r="D27" s="269">
        <f>'210-Police'!E19</f>
        <v>18775</v>
      </c>
      <c r="E27" s="269">
        <f>'210-Police'!G19</f>
        <v>19975</v>
      </c>
      <c r="F27" s="269">
        <f>'210-Police'!I19</f>
        <v>21725</v>
      </c>
      <c r="G27" s="269">
        <f t="shared" si="1"/>
        <v>1750</v>
      </c>
      <c r="H27" s="390">
        <f t="shared" si="0"/>
        <v>8.0552359033371698E-2</v>
      </c>
      <c r="I27" s="48">
        <v>21725</v>
      </c>
      <c r="J27" s="48">
        <v>21725</v>
      </c>
      <c r="K27" s="48">
        <v>21725</v>
      </c>
      <c r="L27" s="56"/>
    </row>
    <row r="28" spans="1:12" ht="15.75" customHeight="1" x14ac:dyDescent="0.25">
      <c r="A28" s="389"/>
      <c r="B28" s="401">
        <v>210</v>
      </c>
      <c r="C28" s="403" t="s">
        <v>522</v>
      </c>
      <c r="D28" s="270">
        <f>'210-Police'!E8</f>
        <v>116220</v>
      </c>
      <c r="E28" s="270">
        <f>'210-Police'!G8</f>
        <v>119706.6</v>
      </c>
      <c r="F28" s="270">
        <f>'210-Police'!I8</f>
        <v>119706.6</v>
      </c>
      <c r="G28" s="270">
        <f t="shared" si="1"/>
        <v>0</v>
      </c>
      <c r="H28" s="398">
        <f t="shared" si="0"/>
        <v>0</v>
      </c>
      <c r="I28" s="407">
        <f>('210-Police'!I7*1.02)+'210-Police'!I6</f>
        <v>120539.25200000001</v>
      </c>
      <c r="J28" s="407">
        <f>('210-Police'!I7*1.025)+'210-Police'!I6</f>
        <v>120747.41499999999</v>
      </c>
      <c r="K28" s="407">
        <f>('210-Police'!I7*1.03)+'210-Police'!I6</f>
        <v>120955.57800000001</v>
      </c>
      <c r="L28" s="56"/>
    </row>
    <row r="29" spans="1:12" ht="15.75" customHeight="1" x14ac:dyDescent="0.25">
      <c r="A29" s="389"/>
      <c r="B29" s="392">
        <v>220</v>
      </c>
      <c r="C29" s="393" t="s">
        <v>434</v>
      </c>
      <c r="D29" s="269">
        <f>'220-Fire'!E26</f>
        <v>39805</v>
      </c>
      <c r="E29" s="269">
        <f>'220-Fire'!G26</f>
        <v>42005</v>
      </c>
      <c r="F29" s="269">
        <f>'220-Fire'!I26</f>
        <v>40255</v>
      </c>
      <c r="G29" s="269">
        <f t="shared" si="1"/>
        <v>-1750</v>
      </c>
      <c r="H29" s="390">
        <f t="shared" si="0"/>
        <v>-4.3472860514221834E-2</v>
      </c>
      <c r="I29" s="48">
        <v>40255</v>
      </c>
      <c r="J29" s="48">
        <v>40255</v>
      </c>
      <c r="K29" s="48">
        <v>40255</v>
      </c>
      <c r="L29" s="56"/>
    </row>
    <row r="30" spans="1:12" ht="15.75" customHeight="1" x14ac:dyDescent="0.25">
      <c r="A30" s="389"/>
      <c r="B30" s="401">
        <v>220</v>
      </c>
      <c r="C30" s="403" t="s">
        <v>523</v>
      </c>
      <c r="D30" s="270">
        <f>'220-Fire'!E13</f>
        <v>39600</v>
      </c>
      <c r="E30" s="270">
        <f>'220-Fire'!G13</f>
        <v>41697.39</v>
      </c>
      <c r="F30" s="270">
        <f>'220-Fire'!I13</f>
        <v>40733.090000000004</v>
      </c>
      <c r="G30" s="270">
        <f t="shared" si="1"/>
        <v>-964.29999999999563</v>
      </c>
      <c r="H30" s="398">
        <f t="shared" si="0"/>
        <v>-2.3673627510213333E-2</v>
      </c>
      <c r="I30" s="407">
        <f>F30*1.02</f>
        <v>41547.751800000005</v>
      </c>
      <c r="J30" s="407">
        <f>F30*1.025</f>
        <v>41751.417249999999</v>
      </c>
      <c r="K30" s="407">
        <f>F30*1.03</f>
        <v>41955.082700000006</v>
      </c>
      <c r="L30" s="56"/>
    </row>
    <row r="31" spans="1:12" ht="15.75" customHeight="1" x14ac:dyDescent="0.25">
      <c r="A31" s="389"/>
      <c r="B31" s="392">
        <v>231</v>
      </c>
      <c r="C31" s="393" t="s">
        <v>435</v>
      </c>
      <c r="D31" s="269">
        <v>25000</v>
      </c>
      <c r="E31" s="269">
        <v>25000</v>
      </c>
      <c r="F31" s="269">
        <v>25000</v>
      </c>
      <c r="G31" s="269">
        <f t="shared" si="1"/>
        <v>0</v>
      </c>
      <c r="H31" s="390">
        <f t="shared" si="0"/>
        <v>0</v>
      </c>
      <c r="I31" s="48">
        <v>25000</v>
      </c>
      <c r="J31" s="48">
        <v>25000</v>
      </c>
      <c r="K31" s="48">
        <v>25000</v>
      </c>
      <c r="L31" s="56"/>
    </row>
    <row r="32" spans="1:12" ht="15.75" customHeight="1" x14ac:dyDescent="0.25">
      <c r="A32" s="389"/>
      <c r="B32" s="392">
        <v>291</v>
      </c>
      <c r="C32" s="393" t="s">
        <v>328</v>
      </c>
      <c r="D32" s="269">
        <f>'291-EMD'!E13</f>
        <v>4225</v>
      </c>
      <c r="E32" s="269">
        <f>'291-EMD'!G13</f>
        <v>4250</v>
      </c>
      <c r="F32" s="269">
        <f>'291-EMD'!I13</f>
        <v>4250</v>
      </c>
      <c r="G32" s="269">
        <f t="shared" si="1"/>
        <v>0</v>
      </c>
      <c r="H32" s="390">
        <f t="shared" si="0"/>
        <v>0</v>
      </c>
      <c r="I32" s="48">
        <v>4250</v>
      </c>
      <c r="J32" s="48">
        <v>4250</v>
      </c>
      <c r="K32" s="48">
        <v>4250</v>
      </c>
      <c r="L32" s="56"/>
    </row>
    <row r="33" spans="1:13" ht="15.75" customHeight="1" x14ac:dyDescent="0.25">
      <c r="A33" s="389"/>
      <c r="B33" s="392">
        <v>292</v>
      </c>
      <c r="C33" s="393" t="s">
        <v>476</v>
      </c>
      <c r="D33" s="269">
        <f>'292-ACO'!E13</f>
        <v>3110</v>
      </c>
      <c r="E33" s="269">
        <f>'292-ACO'!G13</f>
        <v>3110</v>
      </c>
      <c r="F33" s="269">
        <f>'292-ACO'!I13</f>
        <v>5304.5</v>
      </c>
      <c r="G33" s="269">
        <f t="shared" si="1"/>
        <v>2194.5</v>
      </c>
      <c r="H33" s="390">
        <f t="shared" si="0"/>
        <v>0.41370534451880481</v>
      </c>
      <c r="I33" s="48">
        <v>5304.5</v>
      </c>
      <c r="J33" s="48">
        <v>5304.5</v>
      </c>
      <c r="K33" s="48">
        <v>5304.5</v>
      </c>
      <c r="L33" s="56"/>
    </row>
    <row r="34" spans="1:13" ht="15.75" customHeight="1" x14ac:dyDescent="0.25">
      <c r="A34" s="389"/>
      <c r="B34" s="392">
        <v>294</v>
      </c>
      <c r="C34" s="393" t="s">
        <v>329</v>
      </c>
      <c r="D34" s="269">
        <f>'294-Tree Warden'!E11</f>
        <v>300</v>
      </c>
      <c r="E34" s="269">
        <f>'294-Tree Warden'!G11</f>
        <v>300</v>
      </c>
      <c r="F34" s="269">
        <f>'294-Tree Warden'!I11</f>
        <v>510</v>
      </c>
      <c r="G34" s="269">
        <f t="shared" si="1"/>
        <v>210</v>
      </c>
      <c r="H34" s="390">
        <f t="shared" ref="H34:H54" si="2">G34/F34</f>
        <v>0.41176470588235292</v>
      </c>
      <c r="I34" s="48">
        <v>510</v>
      </c>
      <c r="J34" s="48">
        <v>510</v>
      </c>
      <c r="K34" s="48">
        <v>510</v>
      </c>
      <c r="L34" s="56"/>
    </row>
    <row r="35" spans="1:13" ht="15.75" customHeight="1" x14ac:dyDescent="0.25">
      <c r="A35" s="389"/>
      <c r="B35" s="392">
        <v>422</v>
      </c>
      <c r="C35" s="393" t="s">
        <v>436</v>
      </c>
      <c r="D35" s="269">
        <f>'422-Highway'!E21</f>
        <v>256000</v>
      </c>
      <c r="E35" s="269">
        <f>'422-Highway'!G21</f>
        <v>260800</v>
      </c>
      <c r="F35" s="269">
        <f>'422-Highway'!I21</f>
        <v>342800</v>
      </c>
      <c r="G35" s="269">
        <f t="shared" si="1"/>
        <v>82000</v>
      </c>
      <c r="H35" s="390">
        <f t="shared" si="2"/>
        <v>0.23920653442240372</v>
      </c>
      <c r="I35" s="48">
        <v>342800</v>
      </c>
      <c r="J35" s="48">
        <v>342800</v>
      </c>
      <c r="K35" s="48">
        <v>342800</v>
      </c>
      <c r="L35" s="56"/>
    </row>
    <row r="36" spans="1:13" ht="15.75" customHeight="1" x14ac:dyDescent="0.25">
      <c r="A36" s="389"/>
      <c r="B36" s="401">
        <v>422</v>
      </c>
      <c r="C36" s="403" t="s">
        <v>528</v>
      </c>
      <c r="D36" s="270">
        <f>'422-Highway'!E10</f>
        <v>304873</v>
      </c>
      <c r="E36" s="270">
        <f>'422-Highway'!G10</f>
        <v>312883.04850000003</v>
      </c>
      <c r="F36" s="270">
        <f>'422-Highway'!I10</f>
        <v>312883.04850000003</v>
      </c>
      <c r="G36" s="270">
        <f t="shared" si="1"/>
        <v>0</v>
      </c>
      <c r="H36" s="398">
        <f t="shared" si="2"/>
        <v>0</v>
      </c>
      <c r="I36" s="407">
        <f>F36*1.02</f>
        <v>319140.70947000006</v>
      </c>
      <c r="J36" s="407">
        <f>F36*1.025</f>
        <v>320705.12471250002</v>
      </c>
      <c r="K36" s="407">
        <f>F36*1.03</f>
        <v>322269.53995500004</v>
      </c>
      <c r="L36" s="56"/>
    </row>
    <row r="37" spans="1:13" ht="15.75" customHeight="1" x14ac:dyDescent="0.25">
      <c r="A37" s="389"/>
      <c r="B37" s="392">
        <v>423</v>
      </c>
      <c r="C37" s="393" t="s">
        <v>330</v>
      </c>
      <c r="D37" s="269">
        <f>'423-Snow &amp; Ice'!E15</f>
        <v>103000</v>
      </c>
      <c r="E37" s="269">
        <f>'423-Snow &amp; Ice'!G15</f>
        <v>103000</v>
      </c>
      <c r="F37" s="269">
        <f>'423-Snow &amp; Ice'!I15</f>
        <v>108000</v>
      </c>
      <c r="G37" s="269">
        <f t="shared" si="1"/>
        <v>5000</v>
      </c>
      <c r="H37" s="390">
        <f t="shared" si="2"/>
        <v>4.6296296296296294E-2</v>
      </c>
      <c r="I37" s="48">
        <f>F37</f>
        <v>108000</v>
      </c>
      <c r="J37" s="48">
        <f>F37</f>
        <v>108000</v>
      </c>
      <c r="K37" s="48">
        <f>F37</f>
        <v>108000</v>
      </c>
      <c r="L37" s="56"/>
      <c r="M37" s="154"/>
    </row>
    <row r="38" spans="1:13" ht="15.75" customHeight="1" x14ac:dyDescent="0.25">
      <c r="A38" s="389"/>
      <c r="B38" s="401">
        <v>423</v>
      </c>
      <c r="C38" s="403" t="s">
        <v>509</v>
      </c>
      <c r="D38" s="270">
        <f>'423-Snow &amp; Ice'!E10</f>
        <v>20834</v>
      </c>
      <c r="E38" s="270">
        <f>'423-Snow &amp; Ice'!G10</f>
        <v>21459.019999999997</v>
      </c>
      <c r="F38" s="270">
        <f>'423-Snow &amp; Ice'!I10</f>
        <v>21459.019999999997</v>
      </c>
      <c r="G38" s="270">
        <f t="shared" si="1"/>
        <v>0</v>
      </c>
      <c r="H38" s="398">
        <f t="shared" si="2"/>
        <v>0</v>
      </c>
      <c r="I38" s="407">
        <f>F38*1.02</f>
        <v>21888.200399999998</v>
      </c>
      <c r="J38" s="407">
        <f>F38*1.025</f>
        <v>21995.495499999994</v>
      </c>
      <c r="K38" s="407">
        <f>F38*1.03</f>
        <v>22102.790599999997</v>
      </c>
      <c r="L38" s="56"/>
    </row>
    <row r="39" spans="1:13" ht="15.75" customHeight="1" x14ac:dyDescent="0.25">
      <c r="A39" s="389"/>
      <c r="B39" s="392">
        <v>433</v>
      </c>
      <c r="C39" s="393" t="s">
        <v>331</v>
      </c>
      <c r="D39" s="269">
        <v>0</v>
      </c>
      <c r="E39" s="269">
        <f>'433-Transfer Station'!E21</f>
        <v>135047.5</v>
      </c>
      <c r="F39" s="269">
        <f>'433-Transfer Station'!G21</f>
        <v>148148.33000000002</v>
      </c>
      <c r="G39" s="269">
        <f t="shared" si="1"/>
        <v>13100.830000000016</v>
      </c>
      <c r="H39" s="390">
        <f t="shared" si="2"/>
        <v>8.8430493951568781E-2</v>
      </c>
      <c r="I39" s="48">
        <f>F39</f>
        <v>148148.33000000002</v>
      </c>
      <c r="J39" s="48">
        <f>F39</f>
        <v>148148.33000000002</v>
      </c>
      <c r="K39" s="48">
        <f>F39</f>
        <v>148148.33000000002</v>
      </c>
      <c r="L39" s="56"/>
    </row>
    <row r="40" spans="1:13" ht="15.75" customHeight="1" x14ac:dyDescent="0.25">
      <c r="A40" s="389"/>
      <c r="B40" s="401">
        <v>433</v>
      </c>
      <c r="C40" s="403" t="s">
        <v>478</v>
      </c>
      <c r="D40" s="270">
        <v>0</v>
      </c>
      <c r="E40" s="270">
        <f>'433-Transfer Station'!E7</f>
        <v>43260</v>
      </c>
      <c r="F40" s="270">
        <f>'433-Transfer Station'!G7</f>
        <v>45800</v>
      </c>
      <c r="G40" s="270">
        <f t="shared" si="1"/>
        <v>2540</v>
      </c>
      <c r="H40" s="398">
        <f t="shared" si="2"/>
        <v>5.5458515283842796E-2</v>
      </c>
      <c r="I40" s="407">
        <f>F40</f>
        <v>45800</v>
      </c>
      <c r="J40" s="407">
        <f>F40</f>
        <v>45800</v>
      </c>
      <c r="K40" s="407">
        <f>F40</f>
        <v>45800</v>
      </c>
      <c r="L40" s="56" t="s">
        <v>787</v>
      </c>
    </row>
    <row r="41" spans="1:13" ht="15.75" customHeight="1" x14ac:dyDescent="0.25">
      <c r="A41" s="389"/>
      <c r="B41" s="392">
        <v>491</v>
      </c>
      <c r="C41" s="393" t="s">
        <v>508</v>
      </c>
      <c r="D41" s="269">
        <f>'491-Cemetery'!G8</f>
        <v>600</v>
      </c>
      <c r="E41" s="269">
        <f>'491-Cemetery'!I8</f>
        <v>600</v>
      </c>
      <c r="F41" s="269">
        <f>'491-Cemetery'!K8</f>
        <v>600</v>
      </c>
      <c r="G41" s="269">
        <f t="shared" si="1"/>
        <v>0</v>
      </c>
      <c r="H41" s="390">
        <f t="shared" si="2"/>
        <v>0</v>
      </c>
      <c r="I41" s="48">
        <v>600</v>
      </c>
      <c r="J41" s="48">
        <v>600</v>
      </c>
      <c r="K41" s="48">
        <v>600</v>
      </c>
      <c r="L41" s="56"/>
    </row>
    <row r="42" spans="1:13" ht="15.75" customHeight="1" x14ac:dyDescent="0.25">
      <c r="A42" s="389"/>
      <c r="B42" s="392">
        <v>512</v>
      </c>
      <c r="C42" s="393" t="s">
        <v>332</v>
      </c>
      <c r="D42" s="269">
        <v>164559</v>
      </c>
      <c r="E42" s="269">
        <f>'512-BOH'!M21</f>
        <v>17992</v>
      </c>
      <c r="F42" s="269">
        <f>'512-BOH'!O21</f>
        <v>17650</v>
      </c>
      <c r="G42" s="269">
        <f t="shared" si="1"/>
        <v>-342</v>
      </c>
      <c r="H42" s="390">
        <f t="shared" si="2"/>
        <v>-1.9376770538243625E-2</v>
      </c>
      <c r="I42" s="48">
        <v>17650</v>
      </c>
      <c r="J42" s="48">
        <v>17650</v>
      </c>
      <c r="K42" s="48">
        <v>17650</v>
      </c>
      <c r="L42" s="56"/>
    </row>
    <row r="43" spans="1:13" ht="15.75" customHeight="1" x14ac:dyDescent="0.25">
      <c r="A43" s="389"/>
      <c r="B43" s="401">
        <v>512</v>
      </c>
      <c r="C43" s="403" t="s">
        <v>529</v>
      </c>
      <c r="D43" s="270">
        <v>63833</v>
      </c>
      <c r="E43" s="270">
        <f>'512-BOH'!M9</f>
        <v>22423</v>
      </c>
      <c r="F43" s="270">
        <f>'512-BOH'!O9</f>
        <v>15840.32</v>
      </c>
      <c r="G43" s="270">
        <f t="shared" si="1"/>
        <v>-6582.68</v>
      </c>
      <c r="H43" s="398">
        <f t="shared" si="2"/>
        <v>-0.41556483707399855</v>
      </c>
      <c r="I43" s="407">
        <f>('512-BOH'!O6*1.02)+'512-BOH'!O7+'512-BOH'!O8</f>
        <v>15974.126400000001</v>
      </c>
      <c r="J43" s="407">
        <f>('512-BOH'!O6*1.025)+'512-BOH'!O7+'512-BOH'!O8</f>
        <v>16007.578</v>
      </c>
      <c r="K43" s="407">
        <f>('512-BOH'!O6*1.03)+'512-BOH'!O7+'512-BOH'!O8</f>
        <v>16041.0296</v>
      </c>
      <c r="L43" s="56"/>
    </row>
    <row r="44" spans="1:13" ht="15.75" customHeight="1" x14ac:dyDescent="0.25">
      <c r="A44" s="389"/>
      <c r="B44" s="392">
        <v>541</v>
      </c>
      <c r="C44" s="393" t="s">
        <v>333</v>
      </c>
      <c r="D44" s="269">
        <f>'541-COA'!I6</f>
        <v>1200</v>
      </c>
      <c r="E44" s="269">
        <f>'541-COA'!K6</f>
        <v>1200</v>
      </c>
      <c r="F44" s="269">
        <f>'541-COA'!M6</f>
        <v>1200</v>
      </c>
      <c r="G44" s="269">
        <f t="shared" si="1"/>
        <v>0</v>
      </c>
      <c r="H44" s="390">
        <f t="shared" si="2"/>
        <v>0</v>
      </c>
      <c r="I44" s="48">
        <v>1200</v>
      </c>
      <c r="J44" s="48">
        <v>1200</v>
      </c>
      <c r="K44" s="48">
        <v>1200</v>
      </c>
      <c r="L44" s="56"/>
    </row>
    <row r="45" spans="1:13" ht="15.75" customHeight="1" x14ac:dyDescent="0.25">
      <c r="A45" s="389"/>
      <c r="B45" s="392">
        <v>543</v>
      </c>
      <c r="C45" s="393" t="s">
        <v>334</v>
      </c>
      <c r="D45" s="269">
        <f>'543-Veterans'!G10</f>
        <v>11485</v>
      </c>
      <c r="E45" s="269">
        <f>'543-Veterans'!I10</f>
        <v>11244.5</v>
      </c>
      <c r="F45" s="269">
        <f>'543-Veterans'!K10</f>
        <v>9474.41</v>
      </c>
      <c r="G45" s="269">
        <f t="shared" si="1"/>
        <v>-1770.0900000000001</v>
      </c>
      <c r="H45" s="390">
        <f t="shared" si="2"/>
        <v>-0.18682852019281412</v>
      </c>
      <c r="I45" s="48">
        <v>9474.41</v>
      </c>
      <c r="J45" s="48">
        <v>9474.41</v>
      </c>
      <c r="K45" s="48">
        <v>9474.41</v>
      </c>
      <c r="L45" s="56"/>
    </row>
    <row r="46" spans="1:13" ht="15.75" customHeight="1" x14ac:dyDescent="0.25">
      <c r="B46" s="392">
        <v>630</v>
      </c>
      <c r="C46" s="393" t="s">
        <v>532</v>
      </c>
      <c r="D46" s="269">
        <f>'630-Parks &amp; Rec'!G8</f>
        <v>8000</v>
      </c>
      <c r="E46" s="269">
        <f>'630-Parks &amp; Rec'!I8</f>
        <v>8000</v>
      </c>
      <c r="F46" s="269">
        <f>'630-Parks &amp; Rec'!K8</f>
        <v>8000</v>
      </c>
      <c r="G46" s="269">
        <f t="shared" si="1"/>
        <v>0</v>
      </c>
      <c r="H46" s="390">
        <f t="shared" si="2"/>
        <v>0</v>
      </c>
      <c r="I46" s="48">
        <v>8000</v>
      </c>
      <c r="J46" s="48">
        <v>8000</v>
      </c>
      <c r="K46" s="48">
        <v>8000</v>
      </c>
      <c r="L46" s="56"/>
    </row>
    <row r="47" spans="1:13" ht="15.75" customHeight="1" x14ac:dyDescent="0.25">
      <c r="B47" s="392">
        <v>635</v>
      </c>
      <c r="C47" s="393" t="s">
        <v>495</v>
      </c>
      <c r="D47" s="269">
        <v>0</v>
      </c>
      <c r="E47" s="269">
        <f>'635 Forest &amp; Trails'!B7</f>
        <v>400</v>
      </c>
      <c r="F47" s="269">
        <f>'635 Forest &amp; Trails'!D7</f>
        <v>400</v>
      </c>
      <c r="G47" s="269">
        <f t="shared" si="1"/>
        <v>0</v>
      </c>
      <c r="H47" s="390">
        <f t="shared" si="2"/>
        <v>0</v>
      </c>
      <c r="I47" s="408">
        <v>400</v>
      </c>
      <c r="J47" s="408">
        <v>400</v>
      </c>
      <c r="K47" s="408">
        <v>400</v>
      </c>
      <c r="L47" s="56"/>
    </row>
    <row r="48" spans="1:13" ht="15.75" customHeight="1" x14ac:dyDescent="0.25">
      <c r="B48" s="392">
        <v>650</v>
      </c>
      <c r="C48" s="393" t="s">
        <v>471</v>
      </c>
      <c r="D48" s="269">
        <f>'650-Conway Currents'!D9</f>
        <v>6000</v>
      </c>
      <c r="E48" s="269">
        <f>'650-Conway Currents'!F9</f>
        <v>6000</v>
      </c>
      <c r="F48" s="269">
        <f>'650-Conway Currents'!H9</f>
        <v>6000</v>
      </c>
      <c r="G48" s="269">
        <f t="shared" si="1"/>
        <v>0</v>
      </c>
      <c r="H48" s="390">
        <f t="shared" si="2"/>
        <v>0</v>
      </c>
      <c r="I48" s="48">
        <v>6000</v>
      </c>
      <c r="J48" s="48">
        <v>6000</v>
      </c>
      <c r="K48" s="48">
        <v>6000</v>
      </c>
      <c r="L48" s="56"/>
    </row>
    <row r="49" spans="1:12" ht="15.75" customHeight="1" x14ac:dyDescent="0.25">
      <c r="B49" s="392">
        <v>691</v>
      </c>
      <c r="C49" s="393" t="s">
        <v>335</v>
      </c>
      <c r="D49" s="269">
        <f>'691-Historical Commission'!G7</f>
        <v>400</v>
      </c>
      <c r="E49" s="269">
        <f>'691-Historical Commission'!I7</f>
        <v>400</v>
      </c>
      <c r="F49" s="269">
        <f>'691-Historical Commission'!K7</f>
        <v>400</v>
      </c>
      <c r="G49" s="269">
        <f t="shared" si="1"/>
        <v>0</v>
      </c>
      <c r="H49" s="390">
        <f t="shared" si="2"/>
        <v>0</v>
      </c>
      <c r="I49" s="48">
        <v>400</v>
      </c>
      <c r="J49" s="48">
        <v>400</v>
      </c>
      <c r="K49" s="48">
        <v>400</v>
      </c>
      <c r="L49" s="56"/>
    </row>
    <row r="50" spans="1:12" ht="15.75" customHeight="1" x14ac:dyDescent="0.25">
      <c r="B50" s="392">
        <v>710</v>
      </c>
      <c r="C50" s="393" t="s">
        <v>437</v>
      </c>
      <c r="D50" s="269">
        <f>'710-Debt Service'!E9</f>
        <v>81077</v>
      </c>
      <c r="E50" s="269">
        <f>'710-Debt Service'!G9</f>
        <v>52133</v>
      </c>
      <c r="F50" s="269">
        <f>'710-Debt Service'!I9</f>
        <v>108189</v>
      </c>
      <c r="G50" s="269">
        <f t="shared" si="1"/>
        <v>56056</v>
      </c>
      <c r="H50" s="390">
        <f t="shared" si="2"/>
        <v>0.51813030899629353</v>
      </c>
      <c r="I50" s="48">
        <v>108189</v>
      </c>
      <c r="J50" s="48">
        <v>108189</v>
      </c>
      <c r="K50" s="48">
        <v>108189</v>
      </c>
      <c r="L50" s="56"/>
    </row>
    <row r="51" spans="1:12" ht="15.75" customHeight="1" x14ac:dyDescent="0.25">
      <c r="B51" s="392">
        <v>751</v>
      </c>
      <c r="C51" s="393" t="s">
        <v>477</v>
      </c>
      <c r="D51" s="269">
        <v>21072</v>
      </c>
      <c r="E51" s="269">
        <f>'751-Debt Service Interest'!G8</f>
        <v>19119</v>
      </c>
      <c r="F51" s="269">
        <f>'751-Debt Service Interest'!I8</f>
        <v>21473</v>
      </c>
      <c r="G51" s="269">
        <f t="shared" si="1"/>
        <v>2354</v>
      </c>
      <c r="H51" s="390">
        <f t="shared" si="2"/>
        <v>0.10962604200624039</v>
      </c>
      <c r="I51" s="48">
        <f>F51</f>
        <v>21473</v>
      </c>
      <c r="J51" s="48">
        <f>F51</f>
        <v>21473</v>
      </c>
      <c r="K51" s="48">
        <f>F51</f>
        <v>21473</v>
      </c>
      <c r="L51" s="56"/>
    </row>
    <row r="52" spans="1:12" ht="15.75" customHeight="1" x14ac:dyDescent="0.25">
      <c r="B52" s="392">
        <v>752</v>
      </c>
      <c r="C52" s="393" t="s">
        <v>438</v>
      </c>
      <c r="D52" s="269">
        <f>'752-Short Term Interest'!E9</f>
        <v>1650</v>
      </c>
      <c r="E52" s="269">
        <v>100</v>
      </c>
      <c r="F52" s="269">
        <f>'752-Short Term Interest'!I9</f>
        <v>101</v>
      </c>
      <c r="G52" s="269">
        <f t="shared" si="1"/>
        <v>1</v>
      </c>
      <c r="H52" s="390">
        <f t="shared" si="2"/>
        <v>9.9009900990099011E-3</v>
      </c>
      <c r="I52" s="48">
        <v>101</v>
      </c>
      <c r="J52" s="48">
        <v>101</v>
      </c>
      <c r="K52" s="48">
        <v>101</v>
      </c>
      <c r="L52" s="56"/>
    </row>
    <row r="53" spans="1:12" ht="15.75" customHeight="1" x14ac:dyDescent="0.25">
      <c r="B53" s="392">
        <v>830</v>
      </c>
      <c r="C53" s="393" t="s">
        <v>633</v>
      </c>
      <c r="D53" s="269">
        <f>'830-FRCOG Assessments'!D7</f>
        <v>56716</v>
      </c>
      <c r="E53" s="269">
        <f>'830-FRCOG Assessments'!F7</f>
        <v>56590</v>
      </c>
      <c r="F53" s="269">
        <f>'830-FRCOG Assessments'!H7</f>
        <v>58439</v>
      </c>
      <c r="G53" s="269">
        <f t="shared" si="1"/>
        <v>1849</v>
      </c>
      <c r="H53" s="390">
        <f t="shared" si="2"/>
        <v>3.1639829565872107E-2</v>
      </c>
      <c r="I53" s="48">
        <f>F53</f>
        <v>58439</v>
      </c>
      <c r="J53" s="48">
        <f>F53</f>
        <v>58439</v>
      </c>
      <c r="K53" s="48">
        <f>F53</f>
        <v>58439</v>
      </c>
      <c r="L53" s="56"/>
    </row>
    <row r="54" spans="1:12" ht="15.75" customHeight="1" x14ac:dyDescent="0.25">
      <c r="B54" s="392">
        <v>900</v>
      </c>
      <c r="C54" s="393" t="s">
        <v>439</v>
      </c>
      <c r="D54" s="269">
        <f>'900-Employee Benefits'!E13</f>
        <v>715857</v>
      </c>
      <c r="E54" s="269">
        <f>'900-Employee Benefits'!G13</f>
        <v>726161.28</v>
      </c>
      <c r="F54" s="269">
        <f>'900-Employee Benefits'!I13</f>
        <v>764386</v>
      </c>
      <c r="G54" s="269">
        <f t="shared" si="1"/>
        <v>38224.719999999972</v>
      </c>
      <c r="H54" s="390">
        <f t="shared" si="2"/>
        <v>5.0007090658384601E-2</v>
      </c>
      <c r="I54" s="48">
        <v>764386</v>
      </c>
      <c r="J54" s="48">
        <v>764386</v>
      </c>
      <c r="K54" s="48">
        <v>764386</v>
      </c>
      <c r="L54" s="56"/>
    </row>
    <row r="55" spans="1:12" ht="15.75" customHeight="1" x14ac:dyDescent="0.25">
      <c r="B55" s="4"/>
      <c r="C55" s="155" t="s">
        <v>9</v>
      </c>
      <c r="D55" s="70">
        <f>SUM(D2:D54)</f>
        <v>2653025</v>
      </c>
      <c r="E55" s="70">
        <f>SUM(E2:E54)</f>
        <v>2655760.6189999999</v>
      </c>
      <c r="F55" s="427">
        <f>SUM(F2:F54)</f>
        <v>2866704.6335</v>
      </c>
      <c r="G55" s="70">
        <f>SUM(G2:G54)</f>
        <v>210944.01449999999</v>
      </c>
      <c r="H55" s="425">
        <f>(F55-E55)/F55</f>
        <v>7.3584146770801259E-2</v>
      </c>
      <c r="I55" s="70">
        <f>SUM(I2:I54)</f>
        <v>2880102.3846699996</v>
      </c>
      <c r="J55" s="70">
        <f t="shared" ref="J55:K55" si="3">SUM(J2:J54)</f>
        <v>2883451.8224625001</v>
      </c>
      <c r="K55" s="70">
        <f t="shared" si="3"/>
        <v>2886801.2602549996</v>
      </c>
      <c r="L55" s="56"/>
    </row>
    <row r="56" spans="1:12" ht="15" customHeight="1" x14ac:dyDescent="0.25">
      <c r="A56" s="389" t="s">
        <v>479</v>
      </c>
      <c r="B56" s="4"/>
      <c r="C56" s="155"/>
      <c r="D56" s="70"/>
      <c r="E56" s="391"/>
      <c r="F56" s="391"/>
      <c r="G56" s="70"/>
      <c r="H56" s="390" t="s">
        <v>678</v>
      </c>
      <c r="I56" s="409">
        <f>I55-F55</f>
        <v>13397.751169999596</v>
      </c>
      <c r="J56" s="409">
        <f>J55-F55</f>
        <v>16747.188962500077</v>
      </c>
      <c r="K56" s="409">
        <f>K55-F55</f>
        <v>20096.626754999626</v>
      </c>
    </row>
    <row r="57" spans="1:12" ht="15" customHeight="1" x14ac:dyDescent="0.25">
      <c r="A57" s="389"/>
      <c r="B57" s="392" t="s">
        <v>441</v>
      </c>
      <c r="C57" s="393" t="s">
        <v>440</v>
      </c>
      <c r="D57" s="394">
        <f>'300-Grammar School'!D4</f>
        <v>1945554</v>
      </c>
      <c r="E57" s="394">
        <f>'300-Grammar School'!E4</f>
        <v>2016647</v>
      </c>
      <c r="F57" s="394">
        <f>'300-Grammar School'!F4</f>
        <v>2060585</v>
      </c>
      <c r="G57" s="394">
        <f>F57-E57</f>
        <v>43938</v>
      </c>
      <c r="H57" s="390" t="s">
        <v>679</v>
      </c>
      <c r="I57" s="409">
        <v>880</v>
      </c>
      <c r="J57" s="409">
        <v>1109</v>
      </c>
      <c r="K57" s="409">
        <v>1319</v>
      </c>
    </row>
    <row r="58" spans="1:12" x14ac:dyDescent="0.25">
      <c r="A58" s="263"/>
      <c r="B58" s="392" t="s">
        <v>443</v>
      </c>
      <c r="C58" s="393" t="s">
        <v>442</v>
      </c>
      <c r="D58" s="394">
        <f>'300-Grammar School'!D5</f>
        <v>80689</v>
      </c>
      <c r="E58" s="394">
        <f>'300-Grammar School'!E5</f>
        <v>69660</v>
      </c>
      <c r="F58" s="394">
        <f>'300-Grammar School'!F5</f>
        <v>75000</v>
      </c>
      <c r="G58" s="394">
        <f t="shared" ref="G58:G72" si="4">F58-E58</f>
        <v>5340</v>
      </c>
      <c r="H58" s="390" t="s">
        <v>765</v>
      </c>
      <c r="I58" s="410">
        <f>SUM(I56:I57)</f>
        <v>14277.751169999596</v>
      </c>
      <c r="J58" s="410">
        <f t="shared" ref="J58:K58" si="5">SUM(J56:J57)</f>
        <v>17856.188962500077</v>
      </c>
      <c r="K58" s="410">
        <f t="shared" si="5"/>
        <v>21415.626754999626</v>
      </c>
    </row>
    <row r="59" spans="1:12" ht="15" customHeight="1" x14ac:dyDescent="0.25">
      <c r="A59" s="389" t="s">
        <v>480</v>
      </c>
      <c r="B59" s="4"/>
      <c r="C59" s="155" t="s">
        <v>629</v>
      </c>
      <c r="D59" s="70">
        <f>SUM(D57:D58)</f>
        <v>2026243</v>
      </c>
      <c r="E59" s="70">
        <f t="shared" ref="E59:G59" si="6">SUM(E57:E58)</f>
        <v>2086307</v>
      </c>
      <c r="F59" s="70">
        <f t="shared" si="6"/>
        <v>2135585</v>
      </c>
      <c r="G59" s="70">
        <f t="shared" si="6"/>
        <v>49278</v>
      </c>
      <c r="H59" s="411" t="s">
        <v>766</v>
      </c>
      <c r="I59" s="428">
        <f>I55+I57</f>
        <v>2880982.3846699996</v>
      </c>
      <c r="J59" s="428">
        <f t="shared" ref="J59:K59" si="7">J55+J57</f>
        <v>2884560.8224625001</v>
      </c>
      <c r="K59" s="428">
        <f t="shared" si="7"/>
        <v>2888120.2602549996</v>
      </c>
    </row>
    <row r="60" spans="1:12" ht="15" customHeight="1" x14ac:dyDescent="0.25">
      <c r="A60" s="389"/>
      <c r="B60" s="4"/>
      <c r="C60" s="155"/>
      <c r="D60" s="70"/>
      <c r="E60" s="70"/>
      <c r="F60" s="70"/>
      <c r="G60" s="70"/>
      <c r="H60" s="262"/>
    </row>
    <row r="61" spans="1:12" ht="15" customHeight="1" x14ac:dyDescent="0.25">
      <c r="A61" s="263"/>
      <c r="B61" s="392" t="s">
        <v>462</v>
      </c>
      <c r="C61" s="393" t="s">
        <v>444</v>
      </c>
      <c r="D61" s="394">
        <f>'310-Frontier'!D4</f>
        <v>1477649</v>
      </c>
      <c r="E61" s="394">
        <f>'310-Frontier'!E4</f>
        <v>1532073</v>
      </c>
      <c r="F61" s="394">
        <f>'310-Frontier'!F4</f>
        <v>1568585</v>
      </c>
      <c r="G61" s="394">
        <f t="shared" si="4"/>
        <v>36512</v>
      </c>
      <c r="H61" s="262"/>
    </row>
    <row r="62" spans="1:12" x14ac:dyDescent="0.25">
      <c r="B62" s="392" t="s">
        <v>463</v>
      </c>
      <c r="C62" s="393" t="s">
        <v>445</v>
      </c>
      <c r="D62" s="394">
        <f>'310-Frontier'!D5</f>
        <v>41148</v>
      </c>
      <c r="E62" s="394">
        <f>'310-Frontier'!E5</f>
        <v>26759</v>
      </c>
      <c r="F62" s="394">
        <f>'310-Frontier'!F5</f>
        <v>32563</v>
      </c>
      <c r="G62" s="394">
        <f t="shared" si="4"/>
        <v>5804</v>
      </c>
      <c r="H62" s="262"/>
    </row>
    <row r="63" spans="1:12" x14ac:dyDescent="0.25">
      <c r="B63" s="392" t="s">
        <v>483</v>
      </c>
      <c r="C63" s="393" t="s">
        <v>484</v>
      </c>
      <c r="D63" s="48"/>
      <c r="E63" s="48">
        <f>'310-Frontier'!E6</f>
        <v>12827</v>
      </c>
      <c r="F63" s="48">
        <f>'310-Frontier'!F6</f>
        <v>3817</v>
      </c>
      <c r="G63" s="394">
        <f t="shared" si="4"/>
        <v>-9010</v>
      </c>
      <c r="H63" s="262"/>
    </row>
    <row r="64" spans="1:12" ht="15" customHeight="1" x14ac:dyDescent="0.25">
      <c r="A64" s="263"/>
      <c r="B64" s="4"/>
      <c r="C64" s="11" t="s">
        <v>630</v>
      </c>
      <c r="D64" s="70">
        <f>SUM(D61:D63)</f>
        <v>1518797</v>
      </c>
      <c r="E64" s="70">
        <f>SUM(E61:E63)</f>
        <v>1571659</v>
      </c>
      <c r="F64" s="70">
        <f>SUM(F61:F63)</f>
        <v>1604965</v>
      </c>
      <c r="G64" s="70">
        <f>SUM(G61:G63)</f>
        <v>33306</v>
      </c>
      <c r="H64" s="262"/>
    </row>
    <row r="65" spans="1:11" ht="15" customHeight="1" x14ac:dyDescent="0.25">
      <c r="A65" s="263"/>
      <c r="B65" s="4"/>
      <c r="C65" s="11"/>
      <c r="D65" s="70"/>
      <c r="E65" s="70"/>
      <c r="F65" s="70"/>
      <c r="G65" s="70"/>
      <c r="H65" s="262"/>
    </row>
    <row r="66" spans="1:11" ht="15" customHeight="1" x14ac:dyDescent="0.25">
      <c r="A66" s="263"/>
      <c r="B66" s="392" t="s">
        <v>459</v>
      </c>
      <c r="C66" s="393" t="s">
        <v>485</v>
      </c>
      <c r="D66" s="394">
        <f>'320-Franklin Cty Tech'!D4</f>
        <v>68814</v>
      </c>
      <c r="E66" s="394">
        <f>'320-Franklin Cty Tech'!E4</f>
        <v>169670.26</v>
      </c>
      <c r="F66" s="394">
        <f>'320-Franklin Cty Tech'!F4</f>
        <v>159929.73000000001</v>
      </c>
      <c r="G66" s="394">
        <f t="shared" si="4"/>
        <v>-9740.5299999999988</v>
      </c>
      <c r="H66" s="262"/>
    </row>
    <row r="67" spans="1:11" x14ac:dyDescent="0.25">
      <c r="A67" s="263"/>
      <c r="B67" s="392" t="s">
        <v>460</v>
      </c>
      <c r="C67" s="393" t="s">
        <v>486</v>
      </c>
      <c r="D67" s="394">
        <f>'320-Franklin Cty Tech'!D5</f>
        <v>2969</v>
      </c>
      <c r="E67" s="394">
        <f>'320-Franklin Cty Tech'!E5</f>
        <v>7049</v>
      </c>
      <c r="F67" s="394">
        <f>'320-Franklin Cty Tech'!F5</f>
        <v>5198</v>
      </c>
      <c r="G67" s="394">
        <f t="shared" si="4"/>
        <v>-1851</v>
      </c>
      <c r="H67" s="262"/>
      <c r="I67" s="154"/>
    </row>
    <row r="68" spans="1:11" ht="15" customHeight="1" x14ac:dyDescent="0.25">
      <c r="A68" s="389" t="s">
        <v>481</v>
      </c>
      <c r="B68" s="392" t="s">
        <v>496</v>
      </c>
      <c r="C68" s="393" t="s">
        <v>487</v>
      </c>
      <c r="D68" s="394">
        <f>'320-Franklin Cty Tech'!D6</f>
        <v>6227.55</v>
      </c>
      <c r="E68" s="394">
        <f>'320-Franklin Cty Tech'!E6</f>
        <v>6541.74</v>
      </c>
      <c r="F68" s="394">
        <f>'320-Franklin Cty Tech'!F6</f>
        <v>6144.27</v>
      </c>
      <c r="G68" s="394">
        <f t="shared" si="4"/>
        <v>-397.46999999999935</v>
      </c>
      <c r="H68" s="262"/>
    </row>
    <row r="69" spans="1:11" ht="15" customHeight="1" x14ac:dyDescent="0.25">
      <c r="A69" s="389"/>
      <c r="B69" s="392"/>
      <c r="C69" s="155" t="s">
        <v>631</v>
      </c>
      <c r="D69" s="395">
        <f>SUM(D66:D68)</f>
        <v>78010.55</v>
      </c>
      <c r="E69" s="395">
        <f>SUM(E66:E68)</f>
        <v>183261</v>
      </c>
      <c r="F69" s="395">
        <f>SUM(F66:F68)</f>
        <v>171272</v>
      </c>
      <c r="G69" s="395">
        <f>SUM(G66:G68)</f>
        <v>-11988.999999999998</v>
      </c>
      <c r="H69" s="262"/>
    </row>
    <row r="70" spans="1:11" ht="15" customHeight="1" x14ac:dyDescent="0.25">
      <c r="A70" s="389"/>
      <c r="B70" s="392"/>
      <c r="C70" s="155"/>
      <c r="D70" s="395"/>
      <c r="E70" s="395"/>
      <c r="F70" s="395"/>
      <c r="G70" s="395"/>
      <c r="H70" s="262"/>
    </row>
    <row r="71" spans="1:11" x14ac:dyDescent="0.25">
      <c r="A71" s="263"/>
      <c r="B71" s="392" t="s">
        <v>498</v>
      </c>
      <c r="C71" s="393" t="s">
        <v>488</v>
      </c>
      <c r="D71" s="394">
        <f>'330-Other Tech'!D4</f>
        <v>39000</v>
      </c>
      <c r="E71" s="394">
        <f>'330-Other Tech'!E4</f>
        <v>49344</v>
      </c>
      <c r="F71" s="394">
        <f>'330-Other Tech'!F4</f>
        <v>25905.600000000002</v>
      </c>
      <c r="G71" s="394">
        <f t="shared" si="4"/>
        <v>-23438.399999999998</v>
      </c>
      <c r="H71" s="262"/>
    </row>
    <row r="72" spans="1:11" ht="12.75" customHeight="1" x14ac:dyDescent="0.25">
      <c r="A72" s="389" t="s">
        <v>799</v>
      </c>
      <c r="B72" s="392" t="s">
        <v>499</v>
      </c>
      <c r="C72" s="393" t="s">
        <v>489</v>
      </c>
      <c r="D72" s="394">
        <f>'330-Other Tech'!D5</f>
        <v>23400</v>
      </c>
      <c r="E72" s="394">
        <f>'330-Other Tech'!E5</f>
        <v>27000</v>
      </c>
      <c r="F72" s="394">
        <f>'330-Other Tech'!F5</f>
        <v>27000</v>
      </c>
      <c r="G72" s="394">
        <f t="shared" si="4"/>
        <v>0</v>
      </c>
      <c r="J72" s="154"/>
      <c r="K72" s="154"/>
    </row>
    <row r="73" spans="1:11" x14ac:dyDescent="0.25">
      <c r="A73" s="389"/>
      <c r="B73" s="4"/>
      <c r="C73" s="155" t="s">
        <v>632</v>
      </c>
      <c r="D73" s="70">
        <f>SUM(D71:D72)</f>
        <v>62400</v>
      </c>
      <c r="E73" s="70">
        <f t="shared" ref="E73:G73" si="8">SUM(E71:E72)</f>
        <v>76344</v>
      </c>
      <c r="F73" s="70">
        <f t="shared" si="8"/>
        <v>52905.600000000006</v>
      </c>
      <c r="G73" s="70">
        <f t="shared" si="8"/>
        <v>-23438.399999999998</v>
      </c>
      <c r="H73" s="268"/>
      <c r="I73" s="268"/>
      <c r="J73" s="268"/>
      <c r="K73" s="268"/>
    </row>
    <row r="74" spans="1:11" ht="28.5" x14ac:dyDescent="0.25">
      <c r="A74" s="389"/>
      <c r="B74" s="268" t="s">
        <v>763</v>
      </c>
      <c r="C74" s="461" t="s">
        <v>482</v>
      </c>
      <c r="D74" s="460">
        <v>6344176</v>
      </c>
      <c r="E74" s="460">
        <f>E55+E59+E64+E69+E73</f>
        <v>6573331.6189999999</v>
      </c>
      <c r="F74" s="462">
        <f>F55+F59+F64+F69+F73</f>
        <v>6831432.2335000001</v>
      </c>
      <c r="G74" s="431" t="s">
        <v>599</v>
      </c>
      <c r="H74" s="405"/>
      <c r="I74" s="429">
        <f>I59+F59+F64+F69+F73</f>
        <v>6845709.9846699992</v>
      </c>
      <c r="J74" s="429">
        <f>J59+F59+F64+F69+F73</f>
        <v>6849288.4224624997</v>
      </c>
      <c r="K74" s="429">
        <f>K59+F59+F64+F69+F73</f>
        <v>6852847.8602549993</v>
      </c>
    </row>
    <row r="75" spans="1:11" x14ac:dyDescent="0.25">
      <c r="A75" s="265"/>
      <c r="B75" s="405">
        <f>E74-D74</f>
        <v>229155.61899999995</v>
      </c>
      <c r="C75" s="461"/>
      <c r="D75" s="460"/>
      <c r="E75" s="460"/>
      <c r="F75" s="462"/>
      <c r="G75" s="432">
        <f>F74-E74</f>
        <v>258100.61450000014</v>
      </c>
      <c r="H75" s="412"/>
      <c r="I75" s="430">
        <f>(I74-E74)/I74</f>
        <v>3.9788183589423473E-2</v>
      </c>
      <c r="J75" s="430">
        <f>(J74-E74)/J74</f>
        <v>4.0289850045953535E-2</v>
      </c>
      <c r="K75" s="430">
        <f>(K74-E74)/K74</f>
        <v>4.0788333106901678E-2</v>
      </c>
    </row>
    <row r="76" spans="1:11" x14ac:dyDescent="0.25">
      <c r="B76" s="404">
        <f>(E74-D74)/E74</f>
        <v>3.4861411576685576E-2</v>
      </c>
      <c r="C76" s="461"/>
      <c r="D76" s="460"/>
      <c r="E76" s="460"/>
      <c r="F76" s="462"/>
      <c r="G76" s="433">
        <f>(F74-E74)/F74</f>
        <v>3.7781332768599456E-2</v>
      </c>
    </row>
    <row r="77" spans="1:11" x14ac:dyDescent="0.25">
      <c r="H77" s="262"/>
    </row>
    <row r="78" spans="1:11" x14ac:dyDescent="0.25">
      <c r="D78" s="30"/>
      <c r="F78" s="154"/>
    </row>
    <row r="79" spans="1:11" x14ac:dyDescent="0.25">
      <c r="I79" s="154"/>
    </row>
  </sheetData>
  <mergeCells count="4">
    <mergeCell ref="E74:E76"/>
    <mergeCell ref="C74:C76"/>
    <mergeCell ref="D74:D76"/>
    <mergeCell ref="F74:F76"/>
  </mergeCells>
  <pageMargins left="0.25" right="0.25" top="0.75" bottom="0.75" header="0.3" footer="0.3"/>
  <pageSetup paperSize="17" scale="95" fitToWidth="0" orientation="portrait" r:id="rId1"/>
  <ignoredErrors>
    <ignoredError sqref="D71:D72 H55 G55 G64 G59 G69 I38:K38" formula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DD93-CA2E-44F4-9EA7-8154680D53FA}">
  <sheetPr>
    <pageSetUpPr fitToPage="1"/>
  </sheetPr>
  <dimension ref="A1:M78"/>
  <sheetViews>
    <sheetView topLeftCell="A45" workbookViewId="0">
      <selection activeCell="J71" sqref="J71"/>
    </sheetView>
  </sheetViews>
  <sheetFormatPr defaultColWidth="9.140625" defaultRowHeight="15" x14ac:dyDescent="0.25"/>
  <cols>
    <col min="1" max="1" width="4.140625" style="1" customWidth="1"/>
    <col min="2" max="2" width="12.42578125" style="1" bestFit="1" customWidth="1"/>
    <col min="3" max="3" width="37.85546875" style="1" customWidth="1"/>
    <col min="4" max="5" width="12.140625" style="1" bestFit="1" customWidth="1"/>
    <col min="6" max="6" width="12" style="1" customWidth="1"/>
    <col min="7" max="7" width="13.5703125" style="1" customWidth="1"/>
    <col min="8" max="8" width="11.5703125" style="264" customWidth="1"/>
    <col min="9" max="11" width="14.140625" style="1" customWidth="1"/>
    <col min="12" max="12" width="13.5703125" style="1" customWidth="1"/>
    <col min="13" max="13" width="13.140625" style="1" customWidth="1"/>
    <col min="14" max="14" width="17.7109375" style="1" customWidth="1"/>
    <col min="15" max="15" width="9.5703125" style="1" bestFit="1" customWidth="1"/>
    <col min="16" max="16" width="11.140625" style="1" bestFit="1" customWidth="1"/>
    <col min="17" max="16384" width="9.140625" style="1"/>
  </cols>
  <sheetData>
    <row r="1" spans="1:8" ht="26.25" customHeight="1" x14ac:dyDescent="0.25">
      <c r="A1" s="396" t="s">
        <v>798</v>
      </c>
      <c r="B1" s="399" t="s">
        <v>469</v>
      </c>
      <c r="C1" s="399" t="s">
        <v>470</v>
      </c>
      <c r="D1" s="268" t="s">
        <v>4</v>
      </c>
      <c r="E1" s="268" t="s">
        <v>5</v>
      </c>
      <c r="F1" s="268" t="s">
        <v>570</v>
      </c>
      <c r="G1" s="268" t="s">
        <v>598</v>
      </c>
      <c r="H1" s="1"/>
    </row>
    <row r="2" spans="1:8" ht="15.75" customHeight="1" x14ac:dyDescent="0.25">
      <c r="A2" s="389"/>
      <c r="B2" s="392">
        <v>114</v>
      </c>
      <c r="C2" s="393" t="s">
        <v>315</v>
      </c>
      <c r="D2" s="269">
        <f>'114-Moderator'!H7</f>
        <v>350</v>
      </c>
      <c r="E2" s="269">
        <f>'114-Moderator'!J7</f>
        <v>350</v>
      </c>
      <c r="F2" s="269">
        <f>'114-Moderator'!L7</f>
        <v>350</v>
      </c>
      <c r="G2" s="269">
        <f>F2-E2</f>
        <v>0</v>
      </c>
      <c r="H2" s="1"/>
    </row>
    <row r="3" spans="1:8" ht="15.75" customHeight="1" x14ac:dyDescent="0.25">
      <c r="A3" s="389"/>
      <c r="B3" s="392">
        <v>122</v>
      </c>
      <c r="C3" s="393" t="s">
        <v>316</v>
      </c>
      <c r="D3" s="269">
        <f>'122-Selectboard'!I10</f>
        <v>8500</v>
      </c>
      <c r="E3" s="269">
        <f>'122-Selectboard'!K10</f>
        <v>6500</v>
      </c>
      <c r="F3" s="269">
        <f>'122-Selectboard'!M10</f>
        <v>6500</v>
      </c>
      <c r="G3" s="269">
        <f t="shared" ref="G3:G54" si="0">F3-E3</f>
        <v>0</v>
      </c>
      <c r="H3" s="1"/>
    </row>
    <row r="4" spans="1:8" ht="15.75" customHeight="1" x14ac:dyDescent="0.25">
      <c r="A4" s="389"/>
      <c r="B4" s="392">
        <v>131</v>
      </c>
      <c r="C4" s="393" t="s">
        <v>317</v>
      </c>
      <c r="D4" s="269">
        <f>'131-Finance'!I6</f>
        <v>300</v>
      </c>
      <c r="E4" s="269">
        <f>'131-Finance'!K6</f>
        <v>300</v>
      </c>
      <c r="F4" s="269">
        <f>'131-Finance'!M6</f>
        <v>300</v>
      </c>
      <c r="G4" s="269">
        <f t="shared" si="0"/>
        <v>0</v>
      </c>
      <c r="H4" s="1"/>
    </row>
    <row r="5" spans="1:8" ht="15.75" customHeight="1" x14ac:dyDescent="0.25">
      <c r="A5" s="389"/>
      <c r="B5" s="392">
        <v>132</v>
      </c>
      <c r="C5" s="393" t="s">
        <v>318</v>
      </c>
      <c r="D5" s="269">
        <f>'132-Reserve Fund'!L6</f>
        <v>40000</v>
      </c>
      <c r="E5" s="269">
        <f>'132-Reserve Fund'!N6</f>
        <v>40000</v>
      </c>
      <c r="F5" s="269">
        <f>'132-Reserve Fund'!P6</f>
        <v>40000</v>
      </c>
      <c r="G5" s="269">
        <f t="shared" si="0"/>
        <v>0</v>
      </c>
      <c r="H5" s="1"/>
    </row>
    <row r="6" spans="1:8" ht="15.75" customHeight="1" x14ac:dyDescent="0.25">
      <c r="A6" s="389"/>
      <c r="B6" s="392">
        <v>135</v>
      </c>
      <c r="C6" s="393" t="s">
        <v>427</v>
      </c>
      <c r="D6" s="269">
        <f>'135-Auditor'!D6</f>
        <v>1</v>
      </c>
      <c r="E6" s="269">
        <v>1</v>
      </c>
      <c r="F6" s="269">
        <f>'135-Auditor'!H6</f>
        <v>10000</v>
      </c>
      <c r="G6" s="269">
        <f t="shared" si="0"/>
        <v>9999</v>
      </c>
      <c r="H6" s="1"/>
    </row>
    <row r="7" spans="1:8" ht="15.75" customHeight="1" x14ac:dyDescent="0.25">
      <c r="A7" s="389"/>
      <c r="B7" s="392">
        <v>141</v>
      </c>
      <c r="C7" s="393" t="s">
        <v>319</v>
      </c>
      <c r="D7" s="269">
        <f>'141-Assessors'!E22</f>
        <v>12008</v>
      </c>
      <c r="E7" s="400">
        <f>'141-Assessors'!G22</f>
        <v>12075</v>
      </c>
      <c r="F7" s="400">
        <f>'141-Assessors'!I22</f>
        <v>15703.15</v>
      </c>
      <c r="G7" s="269">
        <f t="shared" si="0"/>
        <v>3628.1499999999996</v>
      </c>
      <c r="H7" s="1"/>
    </row>
    <row r="8" spans="1:8" ht="15.75" customHeight="1" x14ac:dyDescent="0.25">
      <c r="A8" s="389"/>
      <c r="B8" s="401">
        <v>141</v>
      </c>
      <c r="C8" s="402" t="s">
        <v>524</v>
      </c>
      <c r="D8" s="270">
        <f>'141-Assessors'!E11</f>
        <v>61511</v>
      </c>
      <c r="E8" s="270">
        <f>'141-Assessors'!G11</f>
        <v>60001.993000000002</v>
      </c>
      <c r="F8" s="270">
        <f>('141-Assessors'!I7*1.02)+'141-Assessors'!I6+('141-Assessors'!I8*1.02)+('141-Assessors'!I9*1.02)</f>
        <v>54318.549599999998</v>
      </c>
      <c r="G8" s="270">
        <f t="shared" si="0"/>
        <v>-5683.4434000000037</v>
      </c>
      <c r="H8" s="1"/>
    </row>
    <row r="9" spans="1:8" ht="15.75" customHeight="1" x14ac:dyDescent="0.25">
      <c r="A9" s="389"/>
      <c r="B9" s="392">
        <v>145</v>
      </c>
      <c r="C9" s="393" t="s">
        <v>428</v>
      </c>
      <c r="D9" s="269">
        <f>'145-Treasurer'!E17</f>
        <v>17783</v>
      </c>
      <c r="E9" s="269">
        <f>'145-Treasurer'!G17</f>
        <v>20919</v>
      </c>
      <c r="F9" s="269">
        <f>'145-Treasurer'!I17</f>
        <v>19795</v>
      </c>
      <c r="G9" s="269">
        <f t="shared" si="0"/>
        <v>-1124</v>
      </c>
      <c r="H9" s="1"/>
    </row>
    <row r="10" spans="1:8" ht="15.75" customHeight="1" x14ac:dyDescent="0.25">
      <c r="A10" s="389"/>
      <c r="B10" s="401">
        <v>145</v>
      </c>
      <c r="C10" s="403" t="s">
        <v>525</v>
      </c>
      <c r="D10" s="270">
        <f>'145-Treasurer'!E9</f>
        <v>63391</v>
      </c>
      <c r="E10" s="270">
        <f>'145-Treasurer'!G9</f>
        <v>66530.850000000006</v>
      </c>
      <c r="F10" s="270">
        <f>E10*1.02</f>
        <v>67861.467000000004</v>
      </c>
      <c r="G10" s="270">
        <f t="shared" si="0"/>
        <v>1330.6169999999984</v>
      </c>
      <c r="H10" s="1"/>
    </row>
    <row r="11" spans="1:8" ht="15.75" customHeight="1" x14ac:dyDescent="0.25">
      <c r="A11" s="389"/>
      <c r="B11" s="392">
        <v>150</v>
      </c>
      <c r="C11" s="393" t="s">
        <v>320</v>
      </c>
      <c r="D11" s="269">
        <f>'150-Town Admin'!F20</f>
        <v>18700</v>
      </c>
      <c r="E11" s="269">
        <f>'150-Town Admin'!H20</f>
        <v>20600</v>
      </c>
      <c r="F11" s="269">
        <f>'150-Town Admin'!J20</f>
        <v>18200</v>
      </c>
      <c r="G11" s="269">
        <f t="shared" si="0"/>
        <v>-2400</v>
      </c>
      <c r="H11" s="1"/>
    </row>
    <row r="12" spans="1:8" ht="15.75" customHeight="1" x14ac:dyDescent="0.25">
      <c r="A12" s="389"/>
      <c r="B12" s="401">
        <v>150</v>
      </c>
      <c r="C12" s="403" t="s">
        <v>526</v>
      </c>
      <c r="D12" s="270">
        <f>'150-Town Admin'!F9</f>
        <v>106380</v>
      </c>
      <c r="E12" s="270">
        <f>'150-Town Admin'!H9</f>
        <v>92040</v>
      </c>
      <c r="F12" s="270">
        <f>93080*1.02</f>
        <v>94941.6</v>
      </c>
      <c r="G12" s="270">
        <f t="shared" si="0"/>
        <v>2901.6000000000058</v>
      </c>
      <c r="H12" s="1"/>
    </row>
    <row r="13" spans="1:8" ht="15.75" customHeight="1" x14ac:dyDescent="0.25">
      <c r="A13" s="389"/>
      <c r="B13" s="392">
        <v>151</v>
      </c>
      <c r="C13" s="393" t="s">
        <v>429</v>
      </c>
      <c r="D13" s="269">
        <f>'151-Legal'!E6</f>
        <v>10000</v>
      </c>
      <c r="E13" s="269">
        <f>'151-Legal'!I6</f>
        <v>11000</v>
      </c>
      <c r="F13" s="269">
        <f>'151-Legal'!K6</f>
        <v>10000</v>
      </c>
      <c r="G13" s="269">
        <f t="shared" si="0"/>
        <v>-1000</v>
      </c>
      <c r="H13" s="1"/>
    </row>
    <row r="14" spans="1:8" ht="15.75" customHeight="1" x14ac:dyDescent="0.25">
      <c r="A14" s="389"/>
      <c r="B14" s="392">
        <v>159</v>
      </c>
      <c r="C14" s="393" t="s">
        <v>321</v>
      </c>
      <c r="D14" s="269">
        <f>'159-IT'!J9</f>
        <v>37586</v>
      </c>
      <c r="E14" s="269">
        <v>42242</v>
      </c>
      <c r="F14" s="269">
        <f>'159-IT'!N9</f>
        <v>44825</v>
      </c>
      <c r="G14" s="269">
        <f t="shared" si="0"/>
        <v>2583</v>
      </c>
      <c r="H14" s="1"/>
    </row>
    <row r="15" spans="1:8" ht="15.75" customHeight="1" x14ac:dyDescent="0.25">
      <c r="A15" s="389"/>
      <c r="B15" s="392">
        <v>161</v>
      </c>
      <c r="C15" s="393" t="s">
        <v>322</v>
      </c>
      <c r="D15" s="269">
        <f>'161-Town Clerk'!E18</f>
        <v>7750</v>
      </c>
      <c r="E15" s="269">
        <f>'161-Town Clerk'!G18</f>
        <v>7750</v>
      </c>
      <c r="F15" s="269">
        <f>'161-Town Clerk'!I18</f>
        <v>10145</v>
      </c>
      <c r="G15" s="269">
        <f t="shared" si="0"/>
        <v>2395</v>
      </c>
      <c r="H15" s="1"/>
    </row>
    <row r="16" spans="1:8" ht="15.75" customHeight="1" x14ac:dyDescent="0.25">
      <c r="A16" s="389"/>
      <c r="B16" s="401">
        <v>161</v>
      </c>
      <c r="C16" s="403" t="s">
        <v>527</v>
      </c>
      <c r="D16" s="270">
        <f>'161-Town Clerk'!E8</f>
        <v>37500</v>
      </c>
      <c r="E16" s="270">
        <f>'161-Town Clerk'!G8</f>
        <v>40382.4375</v>
      </c>
      <c r="F16" s="270">
        <f>38625*1.02</f>
        <v>39397.5</v>
      </c>
      <c r="G16" s="270">
        <f t="shared" si="0"/>
        <v>-984.9375</v>
      </c>
      <c r="H16" s="56"/>
    </row>
    <row r="17" spans="1:8" ht="15.75" customHeight="1" x14ac:dyDescent="0.25">
      <c r="A17" s="389"/>
      <c r="B17" s="392">
        <v>162</v>
      </c>
      <c r="C17" s="393" t="s">
        <v>472</v>
      </c>
      <c r="D17" s="269">
        <f>'162-Registrars'!E9</f>
        <v>1500</v>
      </c>
      <c r="E17" s="269">
        <f>'162-Registrars'!G9</f>
        <v>1700</v>
      </c>
      <c r="F17" s="269">
        <f>'162-Registrars'!I9</f>
        <v>1700</v>
      </c>
      <c r="G17" s="269">
        <f t="shared" si="0"/>
        <v>0</v>
      </c>
      <c r="H17" s="1"/>
    </row>
    <row r="18" spans="1:8" ht="15.75" customHeight="1" x14ac:dyDescent="0.25">
      <c r="A18" s="389"/>
      <c r="B18" s="392">
        <v>163</v>
      </c>
      <c r="C18" s="393" t="s">
        <v>323</v>
      </c>
      <c r="D18" s="269">
        <f>'163-Elections'!E15</f>
        <v>14300</v>
      </c>
      <c r="E18" s="269">
        <f>'163-Elections'!G15</f>
        <v>9600</v>
      </c>
      <c r="F18" s="269">
        <f>'163-Elections'!I15</f>
        <v>10000</v>
      </c>
      <c r="G18" s="269">
        <f t="shared" si="0"/>
        <v>400</v>
      </c>
      <c r="H18" s="1"/>
    </row>
    <row r="19" spans="1:8" ht="15.75" customHeight="1" x14ac:dyDescent="0.25">
      <c r="A19" s="389"/>
      <c r="B19" s="392">
        <v>170</v>
      </c>
      <c r="C19" s="393" t="s">
        <v>473</v>
      </c>
      <c r="D19" s="269">
        <f>'170-Open Space'!E13</f>
        <v>3100</v>
      </c>
      <c r="E19" s="269">
        <f>'170-Open Space'!G13</f>
        <v>3100</v>
      </c>
      <c r="F19" s="269">
        <f>'170-Open Space'!I13</f>
        <v>3100</v>
      </c>
      <c r="G19" s="269">
        <f t="shared" si="0"/>
        <v>0</v>
      </c>
      <c r="H19" s="1"/>
    </row>
    <row r="20" spans="1:8" ht="15.75" customHeight="1" x14ac:dyDescent="0.25">
      <c r="A20" s="389"/>
      <c r="B20" s="392">
        <v>171</v>
      </c>
      <c r="C20" s="393" t="s">
        <v>324</v>
      </c>
      <c r="D20" s="269">
        <f>'171-ConComm'!C12</f>
        <v>803</v>
      </c>
      <c r="E20" s="269">
        <f>'171-ConComm'!E12</f>
        <v>807</v>
      </c>
      <c r="F20" s="269">
        <f>'171-ConComm'!G12</f>
        <v>1061</v>
      </c>
      <c r="G20" s="269">
        <f t="shared" si="0"/>
        <v>254</v>
      </c>
      <c r="H20" s="1"/>
    </row>
    <row r="21" spans="1:8" ht="15.75" customHeight="1" x14ac:dyDescent="0.25">
      <c r="A21" s="389"/>
      <c r="B21" s="392">
        <v>172</v>
      </c>
      <c r="C21" s="393" t="s">
        <v>325</v>
      </c>
      <c r="D21" s="269">
        <f>'172-Agricultural Commission'!E8</f>
        <v>1</v>
      </c>
      <c r="E21" s="269">
        <f>'172-Agricultural Commission'!G8</f>
        <v>1</v>
      </c>
      <c r="F21" s="269">
        <f>'172-Agricultural Commission'!I8</f>
        <v>1</v>
      </c>
      <c r="G21" s="269">
        <f t="shared" si="0"/>
        <v>0</v>
      </c>
      <c r="H21" s="1"/>
    </row>
    <row r="22" spans="1:8" ht="15.75" customHeight="1" x14ac:dyDescent="0.25">
      <c r="A22" s="389"/>
      <c r="B22" s="392">
        <v>175</v>
      </c>
      <c r="C22" s="393" t="s">
        <v>326</v>
      </c>
      <c r="D22" s="269">
        <f>'175-Planning Board'!E15</f>
        <v>2150</v>
      </c>
      <c r="E22" s="269">
        <f>'175-Planning Board'!G15</f>
        <v>2250</v>
      </c>
      <c r="F22" s="269">
        <f>'175-Planning Board'!I15</f>
        <v>2350</v>
      </c>
      <c r="G22" s="269">
        <f t="shared" si="0"/>
        <v>100</v>
      </c>
      <c r="H22" s="1"/>
    </row>
    <row r="23" spans="1:8" ht="15.75" customHeight="1" x14ac:dyDescent="0.25">
      <c r="A23" s="389"/>
      <c r="B23" s="392">
        <v>176</v>
      </c>
      <c r="C23" s="393" t="s">
        <v>327</v>
      </c>
      <c r="D23" s="269">
        <f>'176-ZBA'!E6</f>
        <v>200</v>
      </c>
      <c r="E23" s="269">
        <f>'176-ZBA'!G6</f>
        <v>200</v>
      </c>
      <c r="F23" s="269">
        <f>'176-ZBA'!I8</f>
        <v>325</v>
      </c>
      <c r="G23" s="269">
        <f t="shared" si="0"/>
        <v>125</v>
      </c>
      <c r="H23" s="1"/>
    </row>
    <row r="24" spans="1:8" ht="15.75" customHeight="1" x14ac:dyDescent="0.25">
      <c r="A24" s="389"/>
      <c r="B24" s="392">
        <v>190</v>
      </c>
      <c r="C24" s="393" t="s">
        <v>430</v>
      </c>
      <c r="D24" s="269">
        <f>'190-Personnel'!E6</f>
        <v>1</v>
      </c>
      <c r="E24" s="269">
        <f>'190-Personnel'!G6</f>
        <v>1</v>
      </c>
      <c r="F24" s="269">
        <f>'190-Personnel'!I6</f>
        <v>1</v>
      </c>
      <c r="G24" s="269">
        <f t="shared" si="0"/>
        <v>0</v>
      </c>
      <c r="H24" s="1"/>
    </row>
    <row r="25" spans="1:8" ht="15.75" customHeight="1" x14ac:dyDescent="0.25">
      <c r="A25" s="389"/>
      <c r="B25" s="392">
        <v>192</v>
      </c>
      <c r="C25" s="393" t="s">
        <v>431</v>
      </c>
      <c r="D25" s="269">
        <v>59600</v>
      </c>
      <c r="E25" s="269">
        <v>73500</v>
      </c>
      <c r="F25" s="269">
        <f>'192-Public Buildings'!K12</f>
        <v>82500</v>
      </c>
      <c r="G25" s="269">
        <f t="shared" si="0"/>
        <v>9000</v>
      </c>
      <c r="H25" s="1"/>
    </row>
    <row r="26" spans="1:8" ht="15.75" customHeight="1" x14ac:dyDescent="0.25">
      <c r="A26" s="389"/>
      <c r="B26" s="392">
        <v>193</v>
      </c>
      <c r="C26" s="393" t="s">
        <v>432</v>
      </c>
      <c r="D26" s="269">
        <f>'193-Property Insurance'!E12</f>
        <v>85419</v>
      </c>
      <c r="E26" s="269">
        <f>'193-Property Insurance'!G12</f>
        <v>89053</v>
      </c>
      <c r="F26" s="269">
        <f>'193-Property Insurance'!I12</f>
        <v>89531.684999999998</v>
      </c>
      <c r="G26" s="269">
        <f t="shared" si="0"/>
        <v>478.68499999999767</v>
      </c>
      <c r="H26" s="1"/>
    </row>
    <row r="27" spans="1:8" ht="15.75" customHeight="1" x14ac:dyDescent="0.25">
      <c r="A27" s="389"/>
      <c r="B27" s="392">
        <v>210</v>
      </c>
      <c r="C27" s="393" t="s">
        <v>433</v>
      </c>
      <c r="D27" s="269">
        <f>'210-Police'!E19</f>
        <v>18775</v>
      </c>
      <c r="E27" s="269">
        <f>'210-Police'!G19</f>
        <v>19975</v>
      </c>
      <c r="F27" s="269">
        <f>'210-Police'!I19</f>
        <v>21725</v>
      </c>
      <c r="G27" s="269">
        <f t="shared" si="0"/>
        <v>1750</v>
      </c>
      <c r="H27" s="1"/>
    </row>
    <row r="28" spans="1:8" ht="15.75" customHeight="1" x14ac:dyDescent="0.25">
      <c r="A28" s="389"/>
      <c r="B28" s="401">
        <v>210</v>
      </c>
      <c r="C28" s="403" t="s">
        <v>522</v>
      </c>
      <c r="D28" s="270">
        <f>'210-Police'!E8</f>
        <v>116220</v>
      </c>
      <c r="E28" s="270">
        <f>'210-Police'!G8</f>
        <v>119706.6</v>
      </c>
      <c r="F28" s="270">
        <f>'ARTICLE 2'!I28</f>
        <v>120539.25200000001</v>
      </c>
      <c r="G28" s="270">
        <f t="shared" si="0"/>
        <v>832.65200000000186</v>
      </c>
      <c r="H28" s="1"/>
    </row>
    <row r="29" spans="1:8" ht="15.75" customHeight="1" x14ac:dyDescent="0.25">
      <c r="A29" s="389"/>
      <c r="B29" s="392">
        <v>220</v>
      </c>
      <c r="C29" s="393" t="s">
        <v>434</v>
      </c>
      <c r="D29" s="269">
        <f>'220-Fire'!E26</f>
        <v>39805</v>
      </c>
      <c r="E29" s="269">
        <f>'220-Fire'!G26</f>
        <v>42005</v>
      </c>
      <c r="F29" s="269">
        <f>'220-Fire'!I26</f>
        <v>40255</v>
      </c>
      <c r="G29" s="269">
        <f t="shared" si="0"/>
        <v>-1750</v>
      </c>
      <c r="H29" s="1"/>
    </row>
    <row r="30" spans="1:8" ht="15.75" customHeight="1" x14ac:dyDescent="0.25">
      <c r="A30" s="389"/>
      <c r="B30" s="401">
        <v>220</v>
      </c>
      <c r="C30" s="403" t="s">
        <v>523</v>
      </c>
      <c r="D30" s="270">
        <f>'220-Fire'!E13</f>
        <v>39600</v>
      </c>
      <c r="E30" s="270">
        <f>'220-Fire'!G13</f>
        <v>41697.39</v>
      </c>
      <c r="F30" s="270">
        <f>('220-Fire'!I13)*1.02</f>
        <v>41547.751800000005</v>
      </c>
      <c r="G30" s="270">
        <f t="shared" si="0"/>
        <v>-149.63819999999396</v>
      </c>
      <c r="H30" s="1"/>
    </row>
    <row r="31" spans="1:8" ht="15.75" customHeight="1" x14ac:dyDescent="0.25">
      <c r="A31" s="389"/>
      <c r="B31" s="392">
        <v>231</v>
      </c>
      <c r="C31" s="393" t="s">
        <v>435</v>
      </c>
      <c r="D31" s="269">
        <v>25000</v>
      </c>
      <c r="E31" s="269">
        <v>25000</v>
      </c>
      <c r="F31" s="269">
        <v>25000</v>
      </c>
      <c r="G31" s="269">
        <f t="shared" si="0"/>
        <v>0</v>
      </c>
      <c r="H31" s="1"/>
    </row>
    <row r="32" spans="1:8" ht="15.75" customHeight="1" x14ac:dyDescent="0.25">
      <c r="A32" s="389"/>
      <c r="B32" s="392">
        <v>291</v>
      </c>
      <c r="C32" s="393" t="s">
        <v>328</v>
      </c>
      <c r="D32" s="269">
        <f>'291-EMD'!E13</f>
        <v>4225</v>
      </c>
      <c r="E32" s="269">
        <f>'291-EMD'!G13</f>
        <v>4250</v>
      </c>
      <c r="F32" s="269">
        <f>'291-EMD'!I13</f>
        <v>4250</v>
      </c>
      <c r="G32" s="269">
        <f t="shared" si="0"/>
        <v>0</v>
      </c>
      <c r="H32" s="1"/>
    </row>
    <row r="33" spans="1:13" ht="15.75" customHeight="1" x14ac:dyDescent="0.25">
      <c r="A33" s="389"/>
      <c r="B33" s="392">
        <v>292</v>
      </c>
      <c r="C33" s="393" t="s">
        <v>476</v>
      </c>
      <c r="D33" s="269">
        <f>'292-ACO'!E13</f>
        <v>3110</v>
      </c>
      <c r="E33" s="269">
        <f>'292-ACO'!G13</f>
        <v>3110</v>
      </c>
      <c r="F33" s="269">
        <f>'292-ACO'!I13</f>
        <v>5304.5</v>
      </c>
      <c r="G33" s="269">
        <f t="shared" si="0"/>
        <v>2194.5</v>
      </c>
      <c r="H33" s="1"/>
    </row>
    <row r="34" spans="1:13" ht="15.75" customHeight="1" x14ac:dyDescent="0.25">
      <c r="A34" s="389"/>
      <c r="B34" s="392">
        <v>294</v>
      </c>
      <c r="C34" s="393" t="s">
        <v>329</v>
      </c>
      <c r="D34" s="269">
        <f>'294-Tree Warden'!E11</f>
        <v>300</v>
      </c>
      <c r="E34" s="269">
        <f>'294-Tree Warden'!G11</f>
        <v>300</v>
      </c>
      <c r="F34" s="269">
        <f>'294-Tree Warden'!I11</f>
        <v>510</v>
      </c>
      <c r="G34" s="269">
        <f t="shared" si="0"/>
        <v>210</v>
      </c>
      <c r="H34" s="1"/>
    </row>
    <row r="35" spans="1:13" ht="15.75" customHeight="1" x14ac:dyDescent="0.25">
      <c r="A35" s="389"/>
      <c r="B35" s="392">
        <v>422</v>
      </c>
      <c r="C35" s="393" t="s">
        <v>436</v>
      </c>
      <c r="D35" s="269">
        <f>'422-Highway'!E21</f>
        <v>256000</v>
      </c>
      <c r="E35" s="269">
        <f>'422-Highway'!G21</f>
        <v>260800</v>
      </c>
      <c r="F35" s="269">
        <f>'422-Highway'!I21</f>
        <v>342800</v>
      </c>
      <c r="G35" s="269">
        <f t="shared" si="0"/>
        <v>82000</v>
      </c>
      <c r="H35" s="1"/>
    </row>
    <row r="36" spans="1:13" ht="15.75" customHeight="1" x14ac:dyDescent="0.25">
      <c r="A36" s="389"/>
      <c r="B36" s="401">
        <v>422</v>
      </c>
      <c r="C36" s="403" t="s">
        <v>528</v>
      </c>
      <c r="D36" s="270">
        <f>'422-Highway'!E10</f>
        <v>304873</v>
      </c>
      <c r="E36" s="270">
        <f>'422-Highway'!G10</f>
        <v>312883.04850000003</v>
      </c>
      <c r="F36" s="270">
        <f>312883*1.02</f>
        <v>319140.66000000003</v>
      </c>
      <c r="G36" s="270">
        <f t="shared" si="0"/>
        <v>6257.6114999999991</v>
      </c>
      <c r="H36" s="1"/>
    </row>
    <row r="37" spans="1:13" ht="15.75" customHeight="1" x14ac:dyDescent="0.25">
      <c r="A37" s="389"/>
      <c r="B37" s="392">
        <v>423</v>
      </c>
      <c r="C37" s="393" t="s">
        <v>330</v>
      </c>
      <c r="D37" s="269">
        <f>'423-Snow &amp; Ice'!E15</f>
        <v>103000</v>
      </c>
      <c r="E37" s="269">
        <f>'423-Snow &amp; Ice'!G15</f>
        <v>103000</v>
      </c>
      <c r="F37" s="269">
        <f>'423-Snow &amp; Ice'!I15</f>
        <v>108000</v>
      </c>
      <c r="G37" s="269">
        <f t="shared" si="0"/>
        <v>5000</v>
      </c>
      <c r="H37" s="1"/>
      <c r="M37" s="154"/>
    </row>
    <row r="38" spans="1:13" ht="15.75" customHeight="1" x14ac:dyDescent="0.25">
      <c r="A38" s="389"/>
      <c r="B38" s="401">
        <v>423</v>
      </c>
      <c r="C38" s="403" t="s">
        <v>509</v>
      </c>
      <c r="D38" s="270">
        <f>'423-Snow &amp; Ice'!E10</f>
        <v>20834</v>
      </c>
      <c r="E38" s="270">
        <f>'423-Snow &amp; Ice'!G10</f>
        <v>21459.019999999997</v>
      </c>
      <c r="F38" s="270">
        <f>21459*1.02</f>
        <v>21888.18</v>
      </c>
      <c r="G38" s="270">
        <f t="shared" si="0"/>
        <v>429.16000000000349</v>
      </c>
      <c r="H38" s="1"/>
    </row>
    <row r="39" spans="1:13" ht="15.75" customHeight="1" x14ac:dyDescent="0.25">
      <c r="A39" s="389"/>
      <c r="B39" s="392">
        <v>433</v>
      </c>
      <c r="C39" s="393" t="s">
        <v>331</v>
      </c>
      <c r="D39" s="269">
        <v>0</v>
      </c>
      <c r="E39" s="269">
        <f>'433-Transfer Station'!E21</f>
        <v>135047.5</v>
      </c>
      <c r="F39" s="269">
        <f>'433-Transfer Station'!G21</f>
        <v>148148.33000000002</v>
      </c>
      <c r="G39" s="269">
        <f t="shared" si="0"/>
        <v>13100.830000000016</v>
      </c>
      <c r="H39" s="1"/>
    </row>
    <row r="40" spans="1:13" ht="15.75" customHeight="1" x14ac:dyDescent="0.25">
      <c r="A40" s="389"/>
      <c r="B40" s="401">
        <v>433</v>
      </c>
      <c r="C40" s="403" t="s">
        <v>478</v>
      </c>
      <c r="D40" s="270">
        <v>0</v>
      </c>
      <c r="E40" s="270">
        <f>'433-Transfer Station'!E7</f>
        <v>43260</v>
      </c>
      <c r="F40" s="270">
        <f>'433-Transfer Station'!G7</f>
        <v>45800</v>
      </c>
      <c r="G40" s="270">
        <f t="shared" si="0"/>
        <v>2540</v>
      </c>
      <c r="H40" s="1"/>
    </row>
    <row r="41" spans="1:13" ht="15.75" customHeight="1" x14ac:dyDescent="0.25">
      <c r="A41" s="389"/>
      <c r="B41" s="392">
        <v>491</v>
      </c>
      <c r="C41" s="393" t="s">
        <v>508</v>
      </c>
      <c r="D41" s="269">
        <f>'491-Cemetery'!G8</f>
        <v>600</v>
      </c>
      <c r="E41" s="269">
        <f>'491-Cemetery'!I8</f>
        <v>600</v>
      </c>
      <c r="F41" s="269">
        <f>'491-Cemetery'!K8</f>
        <v>600</v>
      </c>
      <c r="G41" s="269">
        <f t="shared" si="0"/>
        <v>0</v>
      </c>
      <c r="H41" s="1"/>
    </row>
    <row r="42" spans="1:13" ht="15.75" customHeight="1" x14ac:dyDescent="0.25">
      <c r="A42" s="389"/>
      <c r="B42" s="392">
        <v>512</v>
      </c>
      <c r="C42" s="393" t="s">
        <v>332</v>
      </c>
      <c r="D42" s="269">
        <v>164559</v>
      </c>
      <c r="E42" s="269">
        <f>'512-BOH'!M21</f>
        <v>17992</v>
      </c>
      <c r="F42" s="269">
        <f>'512-BOH'!O21</f>
        <v>17650</v>
      </c>
      <c r="G42" s="269">
        <f t="shared" si="0"/>
        <v>-342</v>
      </c>
      <c r="H42" s="1"/>
    </row>
    <row r="43" spans="1:13" ht="15.75" customHeight="1" x14ac:dyDescent="0.25">
      <c r="A43" s="389"/>
      <c r="B43" s="401">
        <v>512</v>
      </c>
      <c r="C43" s="403" t="s">
        <v>529</v>
      </c>
      <c r="D43" s="270">
        <v>63833</v>
      </c>
      <c r="E43" s="270">
        <f>'512-BOH'!M9</f>
        <v>22423</v>
      </c>
      <c r="F43" s="270">
        <f>('512-BOH'!O6*1.02)+'512-BOH'!O7+'512-BOH'!O8</f>
        <v>15974.126400000001</v>
      </c>
      <c r="G43" s="270">
        <f t="shared" si="0"/>
        <v>-6448.873599999999</v>
      </c>
      <c r="H43" s="1"/>
    </row>
    <row r="44" spans="1:13" ht="15.75" customHeight="1" x14ac:dyDescent="0.25">
      <c r="A44" s="389"/>
      <c r="B44" s="392">
        <v>541</v>
      </c>
      <c r="C44" s="393" t="s">
        <v>333</v>
      </c>
      <c r="D44" s="269">
        <f>'541-COA'!I6</f>
        <v>1200</v>
      </c>
      <c r="E44" s="269">
        <f>'541-COA'!K6</f>
        <v>1200</v>
      </c>
      <c r="F44" s="269">
        <f>'541-COA'!M6</f>
        <v>1200</v>
      </c>
      <c r="G44" s="269">
        <f t="shared" si="0"/>
        <v>0</v>
      </c>
      <c r="H44" s="1"/>
    </row>
    <row r="45" spans="1:13" ht="15.75" customHeight="1" x14ac:dyDescent="0.25">
      <c r="A45" s="389"/>
      <c r="B45" s="392">
        <v>543</v>
      </c>
      <c r="C45" s="393" t="s">
        <v>334</v>
      </c>
      <c r="D45" s="269">
        <f>'543-Veterans'!G10</f>
        <v>11485</v>
      </c>
      <c r="E45" s="269">
        <f>'543-Veterans'!I10</f>
        <v>11244.5</v>
      </c>
      <c r="F45" s="269">
        <f>'543-Veterans'!K10</f>
        <v>9474.41</v>
      </c>
      <c r="G45" s="269">
        <f t="shared" si="0"/>
        <v>-1770.0900000000001</v>
      </c>
      <c r="H45" s="1"/>
    </row>
    <row r="46" spans="1:13" ht="15.75" customHeight="1" x14ac:dyDescent="0.25">
      <c r="B46" s="392">
        <v>630</v>
      </c>
      <c r="C46" s="393" t="s">
        <v>532</v>
      </c>
      <c r="D46" s="269">
        <f>'630-Parks &amp; Rec'!G8</f>
        <v>8000</v>
      </c>
      <c r="E46" s="269">
        <f>'630-Parks &amp; Rec'!I8</f>
        <v>8000</v>
      </c>
      <c r="F46" s="269">
        <f>'630-Parks &amp; Rec'!K8</f>
        <v>8000</v>
      </c>
      <c r="G46" s="269">
        <f t="shared" si="0"/>
        <v>0</v>
      </c>
      <c r="H46" s="1"/>
    </row>
    <row r="47" spans="1:13" ht="15.75" customHeight="1" x14ac:dyDescent="0.25">
      <c r="B47" s="392">
        <v>635</v>
      </c>
      <c r="C47" s="393" t="s">
        <v>495</v>
      </c>
      <c r="D47" s="269">
        <v>0</v>
      </c>
      <c r="E47" s="269">
        <f>'635 Forest &amp; Trails'!B7</f>
        <v>400</v>
      </c>
      <c r="F47" s="269">
        <f>'635 Forest &amp; Trails'!D7</f>
        <v>400</v>
      </c>
      <c r="G47" s="269">
        <f t="shared" si="0"/>
        <v>0</v>
      </c>
      <c r="H47" s="1"/>
    </row>
    <row r="48" spans="1:13" ht="15.75" customHeight="1" x14ac:dyDescent="0.25">
      <c r="B48" s="392">
        <v>650</v>
      </c>
      <c r="C48" s="393" t="s">
        <v>471</v>
      </c>
      <c r="D48" s="269">
        <f>'650-Conway Currents'!D9</f>
        <v>6000</v>
      </c>
      <c r="E48" s="269">
        <f>'650-Conway Currents'!F9</f>
        <v>6000</v>
      </c>
      <c r="F48" s="269">
        <f>'650-Conway Currents'!H9</f>
        <v>6000</v>
      </c>
      <c r="G48" s="269">
        <f t="shared" si="0"/>
        <v>0</v>
      </c>
      <c r="H48" s="1"/>
    </row>
    <row r="49" spans="1:8" ht="15.75" customHeight="1" x14ac:dyDescent="0.25">
      <c r="B49" s="392">
        <v>691</v>
      </c>
      <c r="C49" s="393" t="s">
        <v>335</v>
      </c>
      <c r="D49" s="269">
        <f>'691-Historical Commission'!G7</f>
        <v>400</v>
      </c>
      <c r="E49" s="269">
        <f>'691-Historical Commission'!I7</f>
        <v>400</v>
      </c>
      <c r="F49" s="269">
        <f>'691-Historical Commission'!K7</f>
        <v>400</v>
      </c>
      <c r="G49" s="269">
        <f t="shared" si="0"/>
        <v>0</v>
      </c>
      <c r="H49" s="1"/>
    </row>
    <row r="50" spans="1:8" ht="15.75" customHeight="1" x14ac:dyDescent="0.25">
      <c r="B50" s="392">
        <v>710</v>
      </c>
      <c r="C50" s="393" t="s">
        <v>437</v>
      </c>
      <c r="D50" s="269">
        <f>'710-Debt Service'!E9</f>
        <v>81077</v>
      </c>
      <c r="E50" s="269">
        <f>'710-Debt Service'!G9</f>
        <v>52133</v>
      </c>
      <c r="F50" s="269">
        <f>'710-Debt Service'!I9</f>
        <v>108189</v>
      </c>
      <c r="G50" s="269">
        <f t="shared" si="0"/>
        <v>56056</v>
      </c>
      <c r="H50" s="1"/>
    </row>
    <row r="51" spans="1:8" ht="15.75" customHeight="1" x14ac:dyDescent="0.25">
      <c r="B51" s="392">
        <v>751</v>
      </c>
      <c r="C51" s="393" t="s">
        <v>477</v>
      </c>
      <c r="D51" s="269">
        <v>21072</v>
      </c>
      <c r="E51" s="269">
        <f>'751-Debt Service Interest'!G8</f>
        <v>19119</v>
      </c>
      <c r="F51" s="269">
        <f>'751-Debt Service Interest'!I8</f>
        <v>21473</v>
      </c>
      <c r="G51" s="269">
        <f t="shared" si="0"/>
        <v>2354</v>
      </c>
      <c r="H51" s="1"/>
    </row>
    <row r="52" spans="1:8" ht="15.75" customHeight="1" x14ac:dyDescent="0.25">
      <c r="B52" s="392">
        <v>752</v>
      </c>
      <c r="C52" s="393" t="s">
        <v>438</v>
      </c>
      <c r="D52" s="269">
        <f>'752-Short Term Interest'!E9</f>
        <v>1650</v>
      </c>
      <c r="E52" s="269">
        <v>100</v>
      </c>
      <c r="F52" s="269">
        <f>'752-Short Term Interest'!I9</f>
        <v>101</v>
      </c>
      <c r="G52" s="269">
        <f t="shared" si="0"/>
        <v>1</v>
      </c>
      <c r="H52" s="1"/>
    </row>
    <row r="53" spans="1:8" ht="15.75" customHeight="1" x14ac:dyDescent="0.25">
      <c r="B53" s="392">
        <v>830</v>
      </c>
      <c r="C53" s="393" t="s">
        <v>633</v>
      </c>
      <c r="D53" s="269">
        <f>'830-FRCOG Assessments'!D7</f>
        <v>56716</v>
      </c>
      <c r="E53" s="269">
        <f>'830-FRCOG Assessments'!F7</f>
        <v>56590</v>
      </c>
      <c r="F53" s="269">
        <f>'830-FRCOG Assessments'!H7</f>
        <v>58439</v>
      </c>
      <c r="G53" s="269">
        <f t="shared" si="0"/>
        <v>1849</v>
      </c>
      <c r="H53" s="1"/>
    </row>
    <row r="54" spans="1:8" ht="15.75" customHeight="1" x14ac:dyDescent="0.25">
      <c r="B54" s="392">
        <v>900</v>
      </c>
      <c r="C54" s="393" t="s">
        <v>439</v>
      </c>
      <c r="D54" s="269">
        <f>'900-Employee Benefits'!E13</f>
        <v>715857</v>
      </c>
      <c r="E54" s="269">
        <f>'900-Employee Benefits'!G13</f>
        <v>726161.28</v>
      </c>
      <c r="F54" s="269">
        <f>'900-Employee Benefits'!I13+880</f>
        <v>765266</v>
      </c>
      <c r="G54" s="269">
        <f t="shared" si="0"/>
        <v>39104.719999999972</v>
      </c>
      <c r="H54" s="1"/>
    </row>
    <row r="55" spans="1:8" ht="15.75" customHeight="1" x14ac:dyDescent="0.25">
      <c r="B55" s="4"/>
      <c r="C55" s="155" t="s">
        <v>9</v>
      </c>
      <c r="D55" s="70">
        <f>SUM(D2:D54)</f>
        <v>2653025</v>
      </c>
      <c r="E55" s="70">
        <f>SUM(E2:E54)</f>
        <v>2655760.6189999999</v>
      </c>
      <c r="F55" s="70">
        <f>SUM(F2:F54)</f>
        <v>2880982.1617999999</v>
      </c>
      <c r="G55" s="70">
        <f>SUM(G2:G54)</f>
        <v>225221.54280000002</v>
      </c>
      <c r="H55" s="422">
        <f>(F55-E55)/F55</f>
        <v>7.8175264597710833E-2</v>
      </c>
    </row>
    <row r="56" spans="1:8" ht="15" customHeight="1" x14ac:dyDescent="0.25">
      <c r="A56" s="389" t="s">
        <v>479</v>
      </c>
      <c r="B56" s="4"/>
      <c r="C56" s="155"/>
      <c r="D56" s="70"/>
      <c r="E56" s="391"/>
      <c r="F56" s="391"/>
      <c r="G56" s="70"/>
      <c r="H56" s="423"/>
    </row>
    <row r="57" spans="1:8" ht="15" customHeight="1" x14ac:dyDescent="0.25">
      <c r="A57" s="389"/>
      <c r="B57" s="392" t="s">
        <v>441</v>
      </c>
      <c r="C57" s="393" t="s">
        <v>440</v>
      </c>
      <c r="D57" s="394">
        <f>'300-Grammar School'!D4</f>
        <v>1945554</v>
      </c>
      <c r="E57" s="394">
        <f>'300-Grammar School'!E4</f>
        <v>2016647</v>
      </c>
      <c r="F57" s="394">
        <f>'300-Grammar School'!F4</f>
        <v>2060585</v>
      </c>
      <c r="G57" s="394">
        <f>F57-E57</f>
        <v>43938</v>
      </c>
      <c r="H57" s="423"/>
    </row>
    <row r="58" spans="1:8" x14ac:dyDescent="0.25">
      <c r="A58" s="263"/>
      <c r="B58" s="392" t="s">
        <v>443</v>
      </c>
      <c r="C58" s="393" t="s">
        <v>442</v>
      </c>
      <c r="D58" s="394">
        <f>'300-Grammar School'!D5</f>
        <v>80689</v>
      </c>
      <c r="E58" s="394">
        <f>'300-Grammar School'!E5</f>
        <v>69660</v>
      </c>
      <c r="F58" s="394">
        <f>'300-Grammar School'!F5</f>
        <v>75000</v>
      </c>
      <c r="G58" s="394">
        <f t="shared" ref="G58:G72" si="1">F58-E58</f>
        <v>5340</v>
      </c>
      <c r="H58" s="423"/>
    </row>
    <row r="59" spans="1:8" ht="15" customHeight="1" x14ac:dyDescent="0.25">
      <c r="A59" s="389" t="s">
        <v>480</v>
      </c>
      <c r="B59" s="4"/>
      <c r="C59" s="155" t="s">
        <v>629</v>
      </c>
      <c r="D59" s="70">
        <f>SUM(D57:D58)</f>
        <v>2026243</v>
      </c>
      <c r="E59" s="70">
        <f t="shared" ref="E59:G59" si="2">SUM(E57:E58)</f>
        <v>2086307</v>
      </c>
      <c r="F59" s="70">
        <f t="shared" si="2"/>
        <v>2135585</v>
      </c>
      <c r="G59" s="70">
        <f t="shared" si="2"/>
        <v>49278</v>
      </c>
      <c r="H59" s="422">
        <f>(F59-E59)/F59</f>
        <v>2.3074707866931075E-2</v>
      </c>
    </row>
    <row r="60" spans="1:8" ht="15" customHeight="1" x14ac:dyDescent="0.25">
      <c r="A60" s="389"/>
      <c r="B60" s="4"/>
      <c r="C60" s="155"/>
      <c r="D60" s="70"/>
      <c r="E60" s="70"/>
      <c r="F60" s="70"/>
      <c r="G60" s="70"/>
      <c r="H60" s="424"/>
    </row>
    <row r="61" spans="1:8" ht="15" customHeight="1" x14ac:dyDescent="0.25">
      <c r="A61" s="263"/>
      <c r="B61" s="392" t="s">
        <v>462</v>
      </c>
      <c r="C61" s="393" t="s">
        <v>444</v>
      </c>
      <c r="D61" s="394">
        <f>'310-Frontier'!D4</f>
        <v>1477649</v>
      </c>
      <c r="E61" s="394">
        <f>'310-Frontier'!E4</f>
        <v>1532073</v>
      </c>
      <c r="F61" s="394">
        <f>'310-Frontier'!F4</f>
        <v>1568585</v>
      </c>
      <c r="G61" s="394">
        <f t="shared" si="1"/>
        <v>36512</v>
      </c>
      <c r="H61" s="424"/>
    </row>
    <row r="62" spans="1:8" x14ac:dyDescent="0.25">
      <c r="B62" s="392" t="s">
        <v>463</v>
      </c>
      <c r="C62" s="393" t="s">
        <v>445</v>
      </c>
      <c r="D62" s="394">
        <f>'310-Frontier'!D5</f>
        <v>41148</v>
      </c>
      <c r="E62" s="394">
        <f>'310-Frontier'!E5</f>
        <v>26759</v>
      </c>
      <c r="F62" s="394">
        <f>'310-Frontier'!F5</f>
        <v>32563</v>
      </c>
      <c r="G62" s="394">
        <f t="shared" si="1"/>
        <v>5804</v>
      </c>
      <c r="H62" s="424"/>
    </row>
    <row r="63" spans="1:8" x14ac:dyDescent="0.25">
      <c r="B63" s="392" t="s">
        <v>483</v>
      </c>
      <c r="C63" s="393" t="s">
        <v>484</v>
      </c>
      <c r="D63" s="48"/>
      <c r="E63" s="48">
        <f>'310-Frontier'!E6</f>
        <v>12827</v>
      </c>
      <c r="F63" s="48">
        <f>'310-Frontier'!F6</f>
        <v>3817</v>
      </c>
      <c r="G63" s="394">
        <f t="shared" si="1"/>
        <v>-9010</v>
      </c>
      <c r="H63" s="424"/>
    </row>
    <row r="64" spans="1:8" ht="15" customHeight="1" x14ac:dyDescent="0.25">
      <c r="A64" s="263"/>
      <c r="B64" s="4"/>
      <c r="C64" s="11" t="s">
        <v>630</v>
      </c>
      <c r="D64" s="70">
        <f>SUM(D61:D63)</f>
        <v>1518797</v>
      </c>
      <c r="E64" s="70">
        <f>SUM(E61:E63)</f>
        <v>1571659</v>
      </c>
      <c r="F64" s="70">
        <f>SUM(F61:F63)</f>
        <v>1604965</v>
      </c>
      <c r="G64" s="70">
        <f>SUM(G61:G63)</f>
        <v>33306</v>
      </c>
      <c r="H64" s="424">
        <f>(F64-E64)/F64</f>
        <v>2.0751854401809385E-2</v>
      </c>
    </row>
    <row r="65" spans="1:8" ht="15" customHeight="1" x14ac:dyDescent="0.25">
      <c r="A65" s="263"/>
      <c r="B65" s="4"/>
      <c r="C65" s="11"/>
      <c r="D65" s="70"/>
      <c r="E65" s="70"/>
      <c r="F65" s="70"/>
      <c r="G65" s="70"/>
      <c r="H65" s="424"/>
    </row>
    <row r="66" spans="1:8" ht="15" customHeight="1" x14ac:dyDescent="0.25">
      <c r="A66" s="263"/>
      <c r="B66" s="392" t="s">
        <v>459</v>
      </c>
      <c r="C66" s="393" t="s">
        <v>485</v>
      </c>
      <c r="D66" s="394">
        <f>'320-Franklin Cty Tech'!D4</f>
        <v>68814</v>
      </c>
      <c r="E66" s="394">
        <f>'320-Franklin Cty Tech'!E4</f>
        <v>169670.26</v>
      </c>
      <c r="F66" s="394">
        <f>'320-Franklin Cty Tech'!F4</f>
        <v>159929.73000000001</v>
      </c>
      <c r="G66" s="394">
        <f t="shared" si="1"/>
        <v>-9740.5299999999988</v>
      </c>
      <c r="H66" s="424"/>
    </row>
    <row r="67" spans="1:8" x14ac:dyDescent="0.25">
      <c r="A67" s="263"/>
      <c r="B67" s="392" t="s">
        <v>460</v>
      </c>
      <c r="C67" s="393" t="s">
        <v>486</v>
      </c>
      <c r="D67" s="394">
        <f>'320-Franklin Cty Tech'!D5</f>
        <v>2969</v>
      </c>
      <c r="E67" s="394">
        <f>'320-Franklin Cty Tech'!E5</f>
        <v>7049</v>
      </c>
      <c r="F67" s="394">
        <f>'320-Franklin Cty Tech'!F5</f>
        <v>5198</v>
      </c>
      <c r="G67" s="394">
        <f t="shared" si="1"/>
        <v>-1851</v>
      </c>
      <c r="H67" s="424"/>
    </row>
    <row r="68" spans="1:8" ht="15" customHeight="1" x14ac:dyDescent="0.25">
      <c r="A68" s="389" t="s">
        <v>481</v>
      </c>
      <c r="B68" s="392" t="s">
        <v>496</v>
      </c>
      <c r="C68" s="393" t="s">
        <v>487</v>
      </c>
      <c r="D68" s="394">
        <f>'320-Franklin Cty Tech'!D6</f>
        <v>6227.55</v>
      </c>
      <c r="E68" s="394">
        <f>'320-Franklin Cty Tech'!E6</f>
        <v>6541.74</v>
      </c>
      <c r="F68" s="394">
        <f>'320-Franklin Cty Tech'!F6</f>
        <v>6144.27</v>
      </c>
      <c r="G68" s="394">
        <f t="shared" si="1"/>
        <v>-397.46999999999935</v>
      </c>
      <c r="H68" s="424"/>
    </row>
    <row r="69" spans="1:8" ht="15" customHeight="1" x14ac:dyDescent="0.25">
      <c r="A69" s="389"/>
      <c r="B69" s="392"/>
      <c r="C69" s="155" t="s">
        <v>631</v>
      </c>
      <c r="D69" s="395">
        <f>SUM(D66:D68)</f>
        <v>78010.55</v>
      </c>
      <c r="E69" s="395">
        <f>SUM(E66:E68)</f>
        <v>183261</v>
      </c>
      <c r="F69" s="395">
        <f>SUM(F66:F68)</f>
        <v>171272</v>
      </c>
      <c r="G69" s="395">
        <f>SUM(G66:G68)</f>
        <v>-11988.999999999998</v>
      </c>
      <c r="H69" s="424">
        <f>(F69-E69)/F69</f>
        <v>-6.9999766453360743E-2</v>
      </c>
    </row>
    <row r="70" spans="1:8" ht="15" customHeight="1" x14ac:dyDescent="0.25">
      <c r="A70" s="389"/>
      <c r="B70" s="392"/>
      <c r="C70" s="155"/>
      <c r="D70" s="395"/>
      <c r="E70" s="395"/>
      <c r="F70" s="395"/>
      <c r="G70" s="395"/>
      <c r="H70" s="424"/>
    </row>
    <row r="71" spans="1:8" x14ac:dyDescent="0.25">
      <c r="A71" s="263"/>
      <c r="B71" s="392" t="s">
        <v>498</v>
      </c>
      <c r="C71" s="393" t="s">
        <v>488</v>
      </c>
      <c r="D71" s="394">
        <f>'330-Other Tech'!D4</f>
        <v>39000</v>
      </c>
      <c r="E71" s="394">
        <f>'330-Other Tech'!E4</f>
        <v>49344</v>
      </c>
      <c r="F71" s="394">
        <f>'330-Other Tech'!F4</f>
        <v>25905.600000000002</v>
      </c>
      <c r="G71" s="394">
        <f t="shared" si="1"/>
        <v>-23438.399999999998</v>
      </c>
      <c r="H71" s="424"/>
    </row>
    <row r="72" spans="1:8" ht="12.75" customHeight="1" x14ac:dyDescent="0.25">
      <c r="A72" s="389" t="s">
        <v>799</v>
      </c>
      <c r="B72" s="392" t="s">
        <v>499</v>
      </c>
      <c r="C72" s="393" t="s">
        <v>489</v>
      </c>
      <c r="D72" s="394">
        <f>'330-Other Tech'!D5</f>
        <v>23400</v>
      </c>
      <c r="E72" s="394">
        <f>'330-Other Tech'!E5</f>
        <v>27000</v>
      </c>
      <c r="F72" s="394">
        <f>'330-Other Tech'!F5</f>
        <v>27000</v>
      </c>
      <c r="G72" s="394">
        <f t="shared" si="1"/>
        <v>0</v>
      </c>
      <c r="H72" s="422"/>
    </row>
    <row r="73" spans="1:8" x14ac:dyDescent="0.25">
      <c r="A73" s="389"/>
      <c r="B73" s="4"/>
      <c r="C73" s="155" t="s">
        <v>632</v>
      </c>
      <c r="D73" s="70">
        <f>SUM(D71:D72)</f>
        <v>62400</v>
      </c>
      <c r="E73" s="70">
        <f t="shared" ref="E73:G73" si="3">SUM(E71:E72)</f>
        <v>76344</v>
      </c>
      <c r="F73" s="70">
        <f t="shared" si="3"/>
        <v>52905.600000000006</v>
      </c>
      <c r="G73" s="70">
        <f t="shared" si="3"/>
        <v>-23438.399999999998</v>
      </c>
      <c r="H73" s="422">
        <f>(F73-E73)/F73</f>
        <v>-0.44302304481945187</v>
      </c>
    </row>
    <row r="74" spans="1:8" ht="28.5" x14ac:dyDescent="0.25">
      <c r="A74" s="389"/>
      <c r="B74" s="268" t="s">
        <v>763</v>
      </c>
      <c r="C74" s="461" t="s">
        <v>482</v>
      </c>
      <c r="D74" s="460">
        <v>6344176</v>
      </c>
      <c r="E74" s="460">
        <f>E55+E59+E64+E69+E73</f>
        <v>6573331.6189999999</v>
      </c>
      <c r="F74" s="462">
        <f>F55+F59+F64+F69+F73</f>
        <v>6845709.7617999995</v>
      </c>
      <c r="G74" s="268" t="s">
        <v>800</v>
      </c>
      <c r="H74" s="1"/>
    </row>
    <row r="75" spans="1:8" x14ac:dyDescent="0.25">
      <c r="A75" s="265"/>
      <c r="B75" s="405">
        <f>E74-D74</f>
        <v>229155.61899999995</v>
      </c>
      <c r="C75" s="461"/>
      <c r="D75" s="460"/>
      <c r="E75" s="460"/>
      <c r="F75" s="462"/>
      <c r="G75" s="405">
        <f>F74-E74</f>
        <v>272378.14279999956</v>
      </c>
      <c r="H75" s="1"/>
    </row>
    <row r="76" spans="1:8" x14ac:dyDescent="0.25">
      <c r="B76" s="404">
        <f>(E74-D74)/E74</f>
        <v>3.4861411576685576E-2</v>
      </c>
      <c r="C76" s="461"/>
      <c r="D76" s="460"/>
      <c r="E76" s="460"/>
      <c r="F76" s="462"/>
      <c r="G76" s="412">
        <f>(F74-E74)/F74</f>
        <v>3.9788152328617113E-2</v>
      </c>
      <c r="H76" s="1"/>
    </row>
    <row r="77" spans="1:8" x14ac:dyDescent="0.25">
      <c r="H77" s="262"/>
    </row>
    <row r="78" spans="1:8" x14ac:dyDescent="0.25">
      <c r="D78" s="30"/>
      <c r="F78" s="154"/>
    </row>
  </sheetData>
  <mergeCells count="4">
    <mergeCell ref="F74:F76"/>
    <mergeCell ref="C74:C76"/>
    <mergeCell ref="D74:D76"/>
    <mergeCell ref="E74:E76"/>
  </mergeCells>
  <pageMargins left="0.25" right="0.25" top="0.75" bottom="0.75" header="0.3" footer="0.3"/>
  <pageSetup paperSize="5" scale="77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7850-061C-4CA2-AEAA-3DB081AE0537}">
  <dimension ref="A1:H18"/>
  <sheetViews>
    <sheetView workbookViewId="0">
      <selection activeCell="F17" sqref="F17"/>
    </sheetView>
  </sheetViews>
  <sheetFormatPr defaultRowHeight="15" x14ac:dyDescent="0.25"/>
  <cols>
    <col min="1" max="1" width="10.85546875" bestFit="1" customWidth="1"/>
    <col min="2" max="2" width="37.140625" customWidth="1"/>
    <col min="3" max="6" width="15.28515625" customWidth="1"/>
    <col min="7" max="7" width="9.5703125" bestFit="1" customWidth="1"/>
    <col min="8" max="8" width="11.140625" bestFit="1" customWidth="1"/>
  </cols>
  <sheetData>
    <row r="1" spans="1:8" ht="26.25" thickBot="1" x14ac:dyDescent="0.3">
      <c r="A1" s="184" t="s">
        <v>469</v>
      </c>
      <c r="B1" s="185" t="s">
        <v>470</v>
      </c>
      <c r="C1" s="183" t="s">
        <v>3</v>
      </c>
      <c r="D1" s="180" t="s">
        <v>4</v>
      </c>
      <c r="E1" s="180" t="s">
        <v>600</v>
      </c>
      <c r="F1" s="180" t="s">
        <v>570</v>
      </c>
      <c r="G1" s="180" t="s">
        <v>598</v>
      </c>
      <c r="H1" s="204" t="s">
        <v>543</v>
      </c>
    </row>
    <row r="2" spans="1:8" ht="15.75" thickBot="1" x14ac:dyDescent="0.3">
      <c r="A2" s="188" t="s">
        <v>441</v>
      </c>
      <c r="B2" s="189" t="s">
        <v>440</v>
      </c>
      <c r="C2" s="190">
        <v>1868752</v>
      </c>
      <c r="D2" s="190">
        <v>1945554</v>
      </c>
      <c r="E2" s="190">
        <v>2016647</v>
      </c>
      <c r="F2" s="190">
        <f>'ARTICLE 2'!F57</f>
        <v>2060585</v>
      </c>
      <c r="G2" s="190">
        <f>F2-E2</f>
        <v>43938</v>
      </c>
      <c r="H2" s="191"/>
    </row>
    <row r="3" spans="1:8" x14ac:dyDescent="0.25">
      <c r="A3" s="13" t="s">
        <v>443</v>
      </c>
      <c r="B3" s="4" t="s">
        <v>442</v>
      </c>
      <c r="C3" s="48">
        <v>83520</v>
      </c>
      <c r="D3" s="48">
        <v>80689</v>
      </c>
      <c r="E3" s="48">
        <v>69660</v>
      </c>
      <c r="F3" s="48">
        <f>'ARTICLE 2'!F58</f>
        <v>75000</v>
      </c>
      <c r="G3" s="190">
        <f>F3-E3</f>
        <v>5340</v>
      </c>
      <c r="H3" s="192"/>
    </row>
    <row r="4" spans="1:8" ht="15.75" thickBot="1" x14ac:dyDescent="0.3">
      <c r="A4" s="193"/>
      <c r="B4" s="194" t="s">
        <v>9</v>
      </c>
      <c r="C4" s="195">
        <f>SUM(C2:C3)</f>
        <v>1952272</v>
      </c>
      <c r="D4" s="195">
        <f t="shared" ref="D4:G4" si="0">SUM(D2:D3)</f>
        <v>2026243</v>
      </c>
      <c r="E4" s="195">
        <f t="shared" si="0"/>
        <v>2086307</v>
      </c>
      <c r="F4" s="195">
        <f t="shared" si="0"/>
        <v>2135585</v>
      </c>
      <c r="G4" s="195">
        <f t="shared" si="0"/>
        <v>49278</v>
      </c>
      <c r="H4" s="196">
        <f>(F4-E4)/F4</f>
        <v>2.3074707866931075E-2</v>
      </c>
    </row>
    <row r="5" spans="1:8" ht="15.75" thickBot="1" x14ac:dyDescent="0.3">
      <c r="A5" s="188" t="s">
        <v>462</v>
      </c>
      <c r="B5" s="189" t="s">
        <v>444</v>
      </c>
      <c r="C5" s="190">
        <v>1473565</v>
      </c>
      <c r="D5" s="190">
        <v>1477649</v>
      </c>
      <c r="E5" s="190">
        <v>1532073</v>
      </c>
      <c r="F5" s="190">
        <f>'ARTICLE 2'!F61</f>
        <v>1568585</v>
      </c>
      <c r="G5" s="190">
        <f>F5-E5</f>
        <v>36512</v>
      </c>
      <c r="H5" s="197"/>
    </row>
    <row r="6" spans="1:8" ht="15.75" thickBot="1" x14ac:dyDescent="0.3">
      <c r="A6" s="13" t="s">
        <v>463</v>
      </c>
      <c r="B6" s="4" t="s">
        <v>445</v>
      </c>
      <c r="C6" s="48">
        <v>38734</v>
      </c>
      <c r="D6" s="48">
        <v>41148</v>
      </c>
      <c r="E6" s="48">
        <v>26759</v>
      </c>
      <c r="F6" s="48">
        <f>'ARTICLE 2'!F62</f>
        <v>32563</v>
      </c>
      <c r="G6" s="190">
        <f t="shared" ref="G6:G7" si="1">F6-E6</f>
        <v>5804</v>
      </c>
      <c r="H6" s="198"/>
    </row>
    <row r="7" spans="1:8" x14ac:dyDescent="0.25">
      <c r="A7" s="13" t="s">
        <v>483</v>
      </c>
      <c r="B7" s="4" t="s">
        <v>484</v>
      </c>
      <c r="C7" s="48"/>
      <c r="D7" s="48"/>
      <c r="E7" s="48">
        <v>12827</v>
      </c>
      <c r="F7" s="48">
        <f>'ARTICLE 2'!F63</f>
        <v>3817</v>
      </c>
      <c r="G7" s="190">
        <f t="shared" si="1"/>
        <v>-9010</v>
      </c>
      <c r="H7" s="198"/>
    </row>
    <row r="8" spans="1:8" ht="15.75" thickBot="1" x14ac:dyDescent="0.3">
      <c r="A8" s="193"/>
      <c r="B8" s="194" t="s">
        <v>9</v>
      </c>
      <c r="C8" s="195">
        <f>SUM(C5:C7)</f>
        <v>1512299</v>
      </c>
      <c r="D8" s="195">
        <f t="shared" ref="D8:E8" si="2">SUM(D5:D7)</f>
        <v>1518797</v>
      </c>
      <c r="E8" s="195">
        <f t="shared" si="2"/>
        <v>1571659</v>
      </c>
      <c r="F8" s="195">
        <f>SUM(F5:F7)</f>
        <v>1604965</v>
      </c>
      <c r="G8" s="195">
        <f>SUM(G5:G7)</f>
        <v>33306</v>
      </c>
      <c r="H8" s="196">
        <f>(F8-E8)/F8</f>
        <v>2.0751854401809385E-2</v>
      </c>
    </row>
    <row r="9" spans="1:8" x14ac:dyDescent="0.25">
      <c r="A9" s="188" t="s">
        <v>459</v>
      </c>
      <c r="B9" s="189" t="s">
        <v>485</v>
      </c>
      <c r="C9" s="190">
        <v>91432</v>
      </c>
      <c r="D9" s="190">
        <v>68814</v>
      </c>
      <c r="E9" s="190">
        <v>169670.26</v>
      </c>
      <c r="F9" s="190">
        <f>'ARTICLE 2'!F66</f>
        <v>159929.73000000001</v>
      </c>
      <c r="G9" s="190">
        <f>F9-E9</f>
        <v>-9740.5299999999988</v>
      </c>
      <c r="H9" s="197"/>
    </row>
    <row r="10" spans="1:8" x14ac:dyDescent="0.25">
      <c r="A10" s="13" t="s">
        <v>460</v>
      </c>
      <c r="B10" s="4" t="s">
        <v>486</v>
      </c>
      <c r="C10" s="48">
        <v>2943</v>
      </c>
      <c r="D10" s="48">
        <v>2969</v>
      </c>
      <c r="E10" s="48">
        <v>7049</v>
      </c>
      <c r="F10" s="48">
        <f>'ARTICLE 2'!F67</f>
        <v>5198</v>
      </c>
      <c r="G10" s="48">
        <f>F10-E10</f>
        <v>-1851</v>
      </c>
      <c r="H10" s="198"/>
    </row>
    <row r="11" spans="1:8" x14ac:dyDescent="0.25">
      <c r="A11" s="13" t="s">
        <v>496</v>
      </c>
      <c r="B11" s="4" t="s">
        <v>487</v>
      </c>
      <c r="C11" s="48">
        <v>6698.45</v>
      </c>
      <c r="D11" s="48">
        <v>6227.55</v>
      </c>
      <c r="E11" s="48">
        <v>6541.74</v>
      </c>
      <c r="F11" s="48">
        <f>'ARTICLE 2'!F68</f>
        <v>6144.27</v>
      </c>
      <c r="G11" s="48">
        <f>F11-E11</f>
        <v>-397.46999999999935</v>
      </c>
      <c r="H11" s="198"/>
    </row>
    <row r="12" spans="1:8" ht="15.75" thickBot="1" x14ac:dyDescent="0.3">
      <c r="A12" s="193"/>
      <c r="B12" s="194" t="s">
        <v>9</v>
      </c>
      <c r="C12" s="195">
        <f>SUM(C9:C11)</f>
        <v>101073.45</v>
      </c>
      <c r="D12" s="195">
        <f t="shared" ref="D12:E12" si="3">SUM(D9:D11)</f>
        <v>78010.55</v>
      </c>
      <c r="E12" s="195">
        <f t="shared" si="3"/>
        <v>183261</v>
      </c>
      <c r="F12" s="195">
        <v>171272</v>
      </c>
      <c r="G12" s="195">
        <f>SUM(G9:G11)</f>
        <v>-11988.999999999998</v>
      </c>
      <c r="H12" s="196">
        <f>(F12-E12)/F12</f>
        <v>-6.9999766453360743E-2</v>
      </c>
    </row>
    <row r="13" spans="1:8" x14ac:dyDescent="0.25">
      <c r="A13" s="188" t="s">
        <v>498</v>
      </c>
      <c r="B13" s="189" t="s">
        <v>488</v>
      </c>
      <c r="C13" s="190">
        <v>18500</v>
      </c>
      <c r="D13" s="190">
        <v>39000</v>
      </c>
      <c r="E13" s="190">
        <v>49344</v>
      </c>
      <c r="F13" s="190">
        <f>'ARTICLE 2'!F71</f>
        <v>25905.600000000002</v>
      </c>
      <c r="G13" s="190">
        <v>-23438.399999999998</v>
      </c>
      <c r="H13" s="191"/>
    </row>
    <row r="14" spans="1:8" x14ac:dyDescent="0.25">
      <c r="A14" s="13" t="s">
        <v>499</v>
      </c>
      <c r="B14" s="4" t="s">
        <v>489</v>
      </c>
      <c r="C14" s="48">
        <v>12700</v>
      </c>
      <c r="D14" s="48">
        <v>23400</v>
      </c>
      <c r="E14" s="48">
        <v>27000</v>
      </c>
      <c r="F14" s="48">
        <f>'ARTICLE 2'!F72</f>
        <v>27000</v>
      </c>
      <c r="G14" s="48">
        <v>1350</v>
      </c>
      <c r="H14" s="192"/>
    </row>
    <row r="15" spans="1:8" ht="15.75" thickBot="1" x14ac:dyDescent="0.3">
      <c r="A15" s="193"/>
      <c r="B15" s="194" t="s">
        <v>9</v>
      </c>
      <c r="C15" s="195">
        <f>SUM(C13:C14)</f>
        <v>31200</v>
      </c>
      <c r="D15" s="195">
        <f t="shared" ref="D15:E15" si="4">SUM(D13:D14)</f>
        <v>62400</v>
      </c>
      <c r="E15" s="195">
        <f t="shared" si="4"/>
        <v>76344</v>
      </c>
      <c r="F15" s="195">
        <v>54255.600000000006</v>
      </c>
      <c r="G15" s="195">
        <v>-22088.399999999998</v>
      </c>
      <c r="H15" s="203">
        <f>(F15-E15)/F15</f>
        <v>-0.40711742198040374</v>
      </c>
    </row>
    <row r="16" spans="1:8" x14ac:dyDescent="0.25">
      <c r="A16" s="186"/>
      <c r="B16" s="186" t="s">
        <v>535</v>
      </c>
      <c r="C16" s="187">
        <f>C12+C15</f>
        <v>132273.45000000001</v>
      </c>
      <c r="D16" s="187">
        <f>D12+D15</f>
        <v>140410.54999999999</v>
      </c>
      <c r="E16" s="187">
        <f>E12+E15</f>
        <v>259605</v>
      </c>
      <c r="F16" s="187">
        <f>F12+F15</f>
        <v>225527.6</v>
      </c>
      <c r="G16" s="186"/>
      <c r="H16" s="186"/>
    </row>
    <row r="17" spans="1:8" x14ac:dyDescent="0.25">
      <c r="A17" s="186"/>
      <c r="B17" s="186" t="s">
        <v>536</v>
      </c>
      <c r="C17" s="186"/>
      <c r="D17" s="187">
        <f>D18-C18</f>
        <v>88606.099999999627</v>
      </c>
      <c r="E17" s="187">
        <f>E18-D18</f>
        <v>232120.45000000019</v>
      </c>
      <c r="F17" s="187">
        <f>F18-E18</f>
        <v>48506.600000000093</v>
      </c>
      <c r="G17" s="186"/>
      <c r="H17" s="186"/>
    </row>
    <row r="18" spans="1:8" x14ac:dyDescent="0.25">
      <c r="A18" s="199"/>
      <c r="B18" s="200" t="s">
        <v>534</v>
      </c>
      <c r="C18" s="201">
        <f>C4+C8+C12+C15</f>
        <v>3596844.45</v>
      </c>
      <c r="D18" s="201">
        <f t="shared" ref="D18:G18" si="5">D4+D8+D12+D15</f>
        <v>3685450.55</v>
      </c>
      <c r="E18" s="201">
        <f t="shared" si="5"/>
        <v>3917571</v>
      </c>
      <c r="F18" s="201">
        <f t="shared" ref="F18" si="6">F4+F8+F12+F15</f>
        <v>3966077.6</v>
      </c>
      <c r="G18" s="201">
        <f t="shared" si="5"/>
        <v>48506.600000000006</v>
      </c>
      <c r="H18" s="202">
        <f>(F18-E18)/F18</f>
        <v>1.2230370883313047E-2</v>
      </c>
    </row>
  </sheetData>
  <pageMargins left="0.7" right="0.7" top="0.75" bottom="0.75" header="0.3" footer="0.3"/>
  <ignoredErrors>
    <ignoredError sqref="G8 G4" formula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23ECE-4936-49D4-BBD0-BEE80D1624A9}">
  <sheetPr>
    <pageSetUpPr fitToPage="1"/>
  </sheetPr>
  <dimension ref="A1:H216"/>
  <sheetViews>
    <sheetView tabSelected="1" topLeftCell="A24" zoomScale="110" zoomScaleNormal="110" workbookViewId="0">
      <selection activeCell="F4" sqref="F4"/>
    </sheetView>
  </sheetViews>
  <sheetFormatPr defaultRowHeight="15.75" x14ac:dyDescent="0.25"/>
  <cols>
    <col min="1" max="1" width="7.28515625" style="310" customWidth="1"/>
    <col min="2" max="2" width="58.140625" style="310" customWidth="1"/>
    <col min="3" max="3" width="22.42578125" style="318" bestFit="1" customWidth="1"/>
    <col min="4" max="4" width="31.28515625" style="318" customWidth="1"/>
    <col min="5" max="5" width="9.28515625" style="318" customWidth="1"/>
    <col min="6" max="6" width="57" style="310" customWidth="1"/>
    <col min="7" max="7" width="26.140625" style="310" customWidth="1"/>
    <col min="8" max="256" width="9.140625" style="310"/>
    <col min="257" max="257" width="7.28515625" style="310" customWidth="1"/>
    <col min="258" max="258" width="69.28515625" style="310" bestFit="1" customWidth="1"/>
    <col min="259" max="259" width="22.42578125" style="310" bestFit="1" customWidth="1"/>
    <col min="260" max="260" width="31.28515625" style="310" customWidth="1"/>
    <col min="261" max="261" width="9.28515625" style="310" customWidth="1"/>
    <col min="262" max="262" width="23.85546875" style="310" customWidth="1"/>
    <col min="263" max="263" width="64.28515625" style="310" customWidth="1"/>
    <col min="264" max="512" width="9.140625" style="310"/>
    <col min="513" max="513" width="7.28515625" style="310" customWidth="1"/>
    <col min="514" max="514" width="69.28515625" style="310" bestFit="1" customWidth="1"/>
    <col min="515" max="515" width="22.42578125" style="310" bestFit="1" customWidth="1"/>
    <col min="516" max="516" width="31.28515625" style="310" customWidth="1"/>
    <col min="517" max="517" width="9.28515625" style="310" customWidth="1"/>
    <col min="518" max="518" width="23.85546875" style="310" customWidth="1"/>
    <col min="519" max="519" width="64.28515625" style="310" customWidth="1"/>
    <col min="520" max="768" width="9.140625" style="310"/>
    <col min="769" max="769" width="7.28515625" style="310" customWidth="1"/>
    <col min="770" max="770" width="69.28515625" style="310" bestFit="1" customWidth="1"/>
    <col min="771" max="771" width="22.42578125" style="310" bestFit="1" customWidth="1"/>
    <col min="772" max="772" width="31.28515625" style="310" customWidth="1"/>
    <col min="773" max="773" width="9.28515625" style="310" customWidth="1"/>
    <col min="774" max="774" width="23.85546875" style="310" customWidth="1"/>
    <col min="775" max="775" width="64.28515625" style="310" customWidth="1"/>
    <col min="776" max="1024" width="9.140625" style="310"/>
    <col min="1025" max="1025" width="7.28515625" style="310" customWidth="1"/>
    <col min="1026" max="1026" width="69.28515625" style="310" bestFit="1" customWidth="1"/>
    <col min="1027" max="1027" width="22.42578125" style="310" bestFit="1" customWidth="1"/>
    <col min="1028" max="1028" width="31.28515625" style="310" customWidth="1"/>
    <col min="1029" max="1029" width="9.28515625" style="310" customWidth="1"/>
    <col min="1030" max="1030" width="23.85546875" style="310" customWidth="1"/>
    <col min="1031" max="1031" width="64.28515625" style="310" customWidth="1"/>
    <col min="1032" max="1280" width="9.140625" style="310"/>
    <col min="1281" max="1281" width="7.28515625" style="310" customWidth="1"/>
    <col min="1282" max="1282" width="69.28515625" style="310" bestFit="1" customWidth="1"/>
    <col min="1283" max="1283" width="22.42578125" style="310" bestFit="1" customWidth="1"/>
    <col min="1284" max="1284" width="31.28515625" style="310" customWidth="1"/>
    <col min="1285" max="1285" width="9.28515625" style="310" customWidth="1"/>
    <col min="1286" max="1286" width="23.85546875" style="310" customWidth="1"/>
    <col min="1287" max="1287" width="64.28515625" style="310" customWidth="1"/>
    <col min="1288" max="1536" width="9.140625" style="310"/>
    <col min="1537" max="1537" width="7.28515625" style="310" customWidth="1"/>
    <col min="1538" max="1538" width="69.28515625" style="310" bestFit="1" customWidth="1"/>
    <col min="1539" max="1539" width="22.42578125" style="310" bestFit="1" customWidth="1"/>
    <col min="1540" max="1540" width="31.28515625" style="310" customWidth="1"/>
    <col min="1541" max="1541" width="9.28515625" style="310" customWidth="1"/>
    <col min="1542" max="1542" width="23.85546875" style="310" customWidth="1"/>
    <col min="1543" max="1543" width="64.28515625" style="310" customWidth="1"/>
    <col min="1544" max="1792" width="9.140625" style="310"/>
    <col min="1793" max="1793" width="7.28515625" style="310" customWidth="1"/>
    <col min="1794" max="1794" width="69.28515625" style="310" bestFit="1" customWidth="1"/>
    <col min="1795" max="1795" width="22.42578125" style="310" bestFit="1" customWidth="1"/>
    <col min="1796" max="1796" width="31.28515625" style="310" customWidth="1"/>
    <col min="1797" max="1797" width="9.28515625" style="310" customWidth="1"/>
    <col min="1798" max="1798" width="23.85546875" style="310" customWidth="1"/>
    <col min="1799" max="1799" width="64.28515625" style="310" customWidth="1"/>
    <col min="1800" max="2048" width="9.140625" style="310"/>
    <col min="2049" max="2049" width="7.28515625" style="310" customWidth="1"/>
    <col min="2050" max="2050" width="69.28515625" style="310" bestFit="1" customWidth="1"/>
    <col min="2051" max="2051" width="22.42578125" style="310" bestFit="1" customWidth="1"/>
    <col min="2052" max="2052" width="31.28515625" style="310" customWidth="1"/>
    <col min="2053" max="2053" width="9.28515625" style="310" customWidth="1"/>
    <col min="2054" max="2054" width="23.85546875" style="310" customWidth="1"/>
    <col min="2055" max="2055" width="64.28515625" style="310" customWidth="1"/>
    <col min="2056" max="2304" width="9.140625" style="310"/>
    <col min="2305" max="2305" width="7.28515625" style="310" customWidth="1"/>
    <col min="2306" max="2306" width="69.28515625" style="310" bestFit="1" customWidth="1"/>
    <col min="2307" max="2307" width="22.42578125" style="310" bestFit="1" customWidth="1"/>
    <col min="2308" max="2308" width="31.28515625" style="310" customWidth="1"/>
    <col min="2309" max="2309" width="9.28515625" style="310" customWidth="1"/>
    <col min="2310" max="2310" width="23.85546875" style="310" customWidth="1"/>
    <col min="2311" max="2311" width="64.28515625" style="310" customWidth="1"/>
    <col min="2312" max="2560" width="9.140625" style="310"/>
    <col min="2561" max="2561" width="7.28515625" style="310" customWidth="1"/>
    <col min="2562" max="2562" width="69.28515625" style="310" bestFit="1" customWidth="1"/>
    <col min="2563" max="2563" width="22.42578125" style="310" bestFit="1" customWidth="1"/>
    <col min="2564" max="2564" width="31.28515625" style="310" customWidth="1"/>
    <col min="2565" max="2565" width="9.28515625" style="310" customWidth="1"/>
    <col min="2566" max="2566" width="23.85546875" style="310" customWidth="1"/>
    <col min="2567" max="2567" width="64.28515625" style="310" customWidth="1"/>
    <col min="2568" max="2816" width="9.140625" style="310"/>
    <col min="2817" max="2817" width="7.28515625" style="310" customWidth="1"/>
    <col min="2818" max="2818" width="69.28515625" style="310" bestFit="1" customWidth="1"/>
    <col min="2819" max="2819" width="22.42578125" style="310" bestFit="1" customWidth="1"/>
    <col min="2820" max="2820" width="31.28515625" style="310" customWidth="1"/>
    <col min="2821" max="2821" width="9.28515625" style="310" customWidth="1"/>
    <col min="2822" max="2822" width="23.85546875" style="310" customWidth="1"/>
    <col min="2823" max="2823" width="64.28515625" style="310" customWidth="1"/>
    <col min="2824" max="3072" width="9.140625" style="310"/>
    <col min="3073" max="3073" width="7.28515625" style="310" customWidth="1"/>
    <col min="3074" max="3074" width="69.28515625" style="310" bestFit="1" customWidth="1"/>
    <col min="3075" max="3075" width="22.42578125" style="310" bestFit="1" customWidth="1"/>
    <col min="3076" max="3076" width="31.28515625" style="310" customWidth="1"/>
    <col min="3077" max="3077" width="9.28515625" style="310" customWidth="1"/>
    <col min="3078" max="3078" width="23.85546875" style="310" customWidth="1"/>
    <col min="3079" max="3079" width="64.28515625" style="310" customWidth="1"/>
    <col min="3080" max="3328" width="9.140625" style="310"/>
    <col min="3329" max="3329" width="7.28515625" style="310" customWidth="1"/>
    <col min="3330" max="3330" width="69.28515625" style="310" bestFit="1" customWidth="1"/>
    <col min="3331" max="3331" width="22.42578125" style="310" bestFit="1" customWidth="1"/>
    <col min="3332" max="3332" width="31.28515625" style="310" customWidth="1"/>
    <col min="3333" max="3333" width="9.28515625" style="310" customWidth="1"/>
    <col min="3334" max="3334" width="23.85546875" style="310" customWidth="1"/>
    <col min="3335" max="3335" width="64.28515625" style="310" customWidth="1"/>
    <col min="3336" max="3584" width="9.140625" style="310"/>
    <col min="3585" max="3585" width="7.28515625" style="310" customWidth="1"/>
    <col min="3586" max="3586" width="69.28515625" style="310" bestFit="1" customWidth="1"/>
    <col min="3587" max="3587" width="22.42578125" style="310" bestFit="1" customWidth="1"/>
    <col min="3588" max="3588" width="31.28515625" style="310" customWidth="1"/>
    <col min="3589" max="3589" width="9.28515625" style="310" customWidth="1"/>
    <col min="3590" max="3590" width="23.85546875" style="310" customWidth="1"/>
    <col min="3591" max="3591" width="64.28515625" style="310" customWidth="1"/>
    <col min="3592" max="3840" width="9.140625" style="310"/>
    <col min="3841" max="3841" width="7.28515625" style="310" customWidth="1"/>
    <col min="3842" max="3842" width="69.28515625" style="310" bestFit="1" customWidth="1"/>
    <col min="3843" max="3843" width="22.42578125" style="310" bestFit="1" customWidth="1"/>
    <col min="3844" max="3844" width="31.28515625" style="310" customWidth="1"/>
    <col min="3845" max="3845" width="9.28515625" style="310" customWidth="1"/>
    <col min="3846" max="3846" width="23.85546875" style="310" customWidth="1"/>
    <col min="3847" max="3847" width="64.28515625" style="310" customWidth="1"/>
    <col min="3848" max="4096" width="9.140625" style="310"/>
    <col min="4097" max="4097" width="7.28515625" style="310" customWidth="1"/>
    <col min="4098" max="4098" width="69.28515625" style="310" bestFit="1" customWidth="1"/>
    <col min="4099" max="4099" width="22.42578125" style="310" bestFit="1" customWidth="1"/>
    <col min="4100" max="4100" width="31.28515625" style="310" customWidth="1"/>
    <col min="4101" max="4101" width="9.28515625" style="310" customWidth="1"/>
    <col min="4102" max="4102" width="23.85546875" style="310" customWidth="1"/>
    <col min="4103" max="4103" width="64.28515625" style="310" customWidth="1"/>
    <col min="4104" max="4352" width="9.140625" style="310"/>
    <col min="4353" max="4353" width="7.28515625" style="310" customWidth="1"/>
    <col min="4354" max="4354" width="69.28515625" style="310" bestFit="1" customWidth="1"/>
    <col min="4355" max="4355" width="22.42578125" style="310" bestFit="1" customWidth="1"/>
    <col min="4356" max="4356" width="31.28515625" style="310" customWidth="1"/>
    <col min="4357" max="4357" width="9.28515625" style="310" customWidth="1"/>
    <col min="4358" max="4358" width="23.85546875" style="310" customWidth="1"/>
    <col min="4359" max="4359" width="64.28515625" style="310" customWidth="1"/>
    <col min="4360" max="4608" width="9.140625" style="310"/>
    <col min="4609" max="4609" width="7.28515625" style="310" customWidth="1"/>
    <col min="4610" max="4610" width="69.28515625" style="310" bestFit="1" customWidth="1"/>
    <col min="4611" max="4611" width="22.42578125" style="310" bestFit="1" customWidth="1"/>
    <col min="4612" max="4612" width="31.28515625" style="310" customWidth="1"/>
    <col min="4613" max="4613" width="9.28515625" style="310" customWidth="1"/>
    <col min="4614" max="4614" width="23.85546875" style="310" customWidth="1"/>
    <col min="4615" max="4615" width="64.28515625" style="310" customWidth="1"/>
    <col min="4616" max="4864" width="9.140625" style="310"/>
    <col min="4865" max="4865" width="7.28515625" style="310" customWidth="1"/>
    <col min="4866" max="4866" width="69.28515625" style="310" bestFit="1" customWidth="1"/>
    <col min="4867" max="4867" width="22.42578125" style="310" bestFit="1" customWidth="1"/>
    <col min="4868" max="4868" width="31.28515625" style="310" customWidth="1"/>
    <col min="4869" max="4869" width="9.28515625" style="310" customWidth="1"/>
    <col min="4870" max="4870" width="23.85546875" style="310" customWidth="1"/>
    <col min="4871" max="4871" width="64.28515625" style="310" customWidth="1"/>
    <col min="4872" max="5120" width="9.140625" style="310"/>
    <col min="5121" max="5121" width="7.28515625" style="310" customWidth="1"/>
    <col min="5122" max="5122" width="69.28515625" style="310" bestFit="1" customWidth="1"/>
    <col min="5123" max="5123" width="22.42578125" style="310" bestFit="1" customWidth="1"/>
    <col min="5124" max="5124" width="31.28515625" style="310" customWidth="1"/>
    <col min="5125" max="5125" width="9.28515625" style="310" customWidth="1"/>
    <col min="5126" max="5126" width="23.85546875" style="310" customWidth="1"/>
    <col min="5127" max="5127" width="64.28515625" style="310" customWidth="1"/>
    <col min="5128" max="5376" width="9.140625" style="310"/>
    <col min="5377" max="5377" width="7.28515625" style="310" customWidth="1"/>
    <col min="5378" max="5378" width="69.28515625" style="310" bestFit="1" customWidth="1"/>
    <col min="5379" max="5379" width="22.42578125" style="310" bestFit="1" customWidth="1"/>
    <col min="5380" max="5380" width="31.28515625" style="310" customWidth="1"/>
    <col min="5381" max="5381" width="9.28515625" style="310" customWidth="1"/>
    <col min="5382" max="5382" width="23.85546875" style="310" customWidth="1"/>
    <col min="5383" max="5383" width="64.28515625" style="310" customWidth="1"/>
    <col min="5384" max="5632" width="9.140625" style="310"/>
    <col min="5633" max="5633" width="7.28515625" style="310" customWidth="1"/>
    <col min="5634" max="5634" width="69.28515625" style="310" bestFit="1" customWidth="1"/>
    <col min="5635" max="5635" width="22.42578125" style="310" bestFit="1" customWidth="1"/>
    <col min="5636" max="5636" width="31.28515625" style="310" customWidth="1"/>
    <col min="5637" max="5637" width="9.28515625" style="310" customWidth="1"/>
    <col min="5638" max="5638" width="23.85546875" style="310" customWidth="1"/>
    <col min="5639" max="5639" width="64.28515625" style="310" customWidth="1"/>
    <col min="5640" max="5888" width="9.140625" style="310"/>
    <col min="5889" max="5889" width="7.28515625" style="310" customWidth="1"/>
    <col min="5890" max="5890" width="69.28515625" style="310" bestFit="1" customWidth="1"/>
    <col min="5891" max="5891" width="22.42578125" style="310" bestFit="1" customWidth="1"/>
    <col min="5892" max="5892" width="31.28515625" style="310" customWidth="1"/>
    <col min="5893" max="5893" width="9.28515625" style="310" customWidth="1"/>
    <col min="5894" max="5894" width="23.85546875" style="310" customWidth="1"/>
    <col min="5895" max="5895" width="64.28515625" style="310" customWidth="1"/>
    <col min="5896" max="6144" width="9.140625" style="310"/>
    <col min="6145" max="6145" width="7.28515625" style="310" customWidth="1"/>
    <col min="6146" max="6146" width="69.28515625" style="310" bestFit="1" customWidth="1"/>
    <col min="6147" max="6147" width="22.42578125" style="310" bestFit="1" customWidth="1"/>
    <col min="6148" max="6148" width="31.28515625" style="310" customWidth="1"/>
    <col min="6149" max="6149" width="9.28515625" style="310" customWidth="1"/>
    <col min="6150" max="6150" width="23.85546875" style="310" customWidth="1"/>
    <col min="6151" max="6151" width="64.28515625" style="310" customWidth="1"/>
    <col min="6152" max="6400" width="9.140625" style="310"/>
    <col min="6401" max="6401" width="7.28515625" style="310" customWidth="1"/>
    <col min="6402" max="6402" width="69.28515625" style="310" bestFit="1" customWidth="1"/>
    <col min="6403" max="6403" width="22.42578125" style="310" bestFit="1" customWidth="1"/>
    <col min="6404" max="6404" width="31.28515625" style="310" customWidth="1"/>
    <col min="6405" max="6405" width="9.28515625" style="310" customWidth="1"/>
    <col min="6406" max="6406" width="23.85546875" style="310" customWidth="1"/>
    <col min="6407" max="6407" width="64.28515625" style="310" customWidth="1"/>
    <col min="6408" max="6656" width="9.140625" style="310"/>
    <col min="6657" max="6657" width="7.28515625" style="310" customWidth="1"/>
    <col min="6658" max="6658" width="69.28515625" style="310" bestFit="1" customWidth="1"/>
    <col min="6659" max="6659" width="22.42578125" style="310" bestFit="1" customWidth="1"/>
    <col min="6660" max="6660" width="31.28515625" style="310" customWidth="1"/>
    <col min="6661" max="6661" width="9.28515625" style="310" customWidth="1"/>
    <col min="6662" max="6662" width="23.85546875" style="310" customWidth="1"/>
    <col min="6663" max="6663" width="64.28515625" style="310" customWidth="1"/>
    <col min="6664" max="6912" width="9.140625" style="310"/>
    <col min="6913" max="6913" width="7.28515625" style="310" customWidth="1"/>
    <col min="6914" max="6914" width="69.28515625" style="310" bestFit="1" customWidth="1"/>
    <col min="6915" max="6915" width="22.42578125" style="310" bestFit="1" customWidth="1"/>
    <col min="6916" max="6916" width="31.28515625" style="310" customWidth="1"/>
    <col min="6917" max="6917" width="9.28515625" style="310" customWidth="1"/>
    <col min="6918" max="6918" width="23.85546875" style="310" customWidth="1"/>
    <col min="6919" max="6919" width="64.28515625" style="310" customWidth="1"/>
    <col min="6920" max="7168" width="9.140625" style="310"/>
    <col min="7169" max="7169" width="7.28515625" style="310" customWidth="1"/>
    <col min="7170" max="7170" width="69.28515625" style="310" bestFit="1" customWidth="1"/>
    <col min="7171" max="7171" width="22.42578125" style="310" bestFit="1" customWidth="1"/>
    <col min="7172" max="7172" width="31.28515625" style="310" customWidth="1"/>
    <col min="7173" max="7173" width="9.28515625" style="310" customWidth="1"/>
    <col min="7174" max="7174" width="23.85546875" style="310" customWidth="1"/>
    <col min="7175" max="7175" width="64.28515625" style="310" customWidth="1"/>
    <col min="7176" max="7424" width="9.140625" style="310"/>
    <col min="7425" max="7425" width="7.28515625" style="310" customWidth="1"/>
    <col min="7426" max="7426" width="69.28515625" style="310" bestFit="1" customWidth="1"/>
    <col min="7427" max="7427" width="22.42578125" style="310" bestFit="1" customWidth="1"/>
    <col min="7428" max="7428" width="31.28515625" style="310" customWidth="1"/>
    <col min="7429" max="7429" width="9.28515625" style="310" customWidth="1"/>
    <col min="7430" max="7430" width="23.85546875" style="310" customWidth="1"/>
    <col min="7431" max="7431" width="64.28515625" style="310" customWidth="1"/>
    <col min="7432" max="7680" width="9.140625" style="310"/>
    <col min="7681" max="7681" width="7.28515625" style="310" customWidth="1"/>
    <col min="7682" max="7682" width="69.28515625" style="310" bestFit="1" customWidth="1"/>
    <col min="7683" max="7683" width="22.42578125" style="310" bestFit="1" customWidth="1"/>
    <col min="7684" max="7684" width="31.28515625" style="310" customWidth="1"/>
    <col min="7685" max="7685" width="9.28515625" style="310" customWidth="1"/>
    <col min="7686" max="7686" width="23.85546875" style="310" customWidth="1"/>
    <col min="7687" max="7687" width="64.28515625" style="310" customWidth="1"/>
    <col min="7688" max="7936" width="9.140625" style="310"/>
    <col min="7937" max="7937" width="7.28515625" style="310" customWidth="1"/>
    <col min="7938" max="7938" width="69.28515625" style="310" bestFit="1" customWidth="1"/>
    <col min="7939" max="7939" width="22.42578125" style="310" bestFit="1" customWidth="1"/>
    <col min="7940" max="7940" width="31.28515625" style="310" customWidth="1"/>
    <col min="7941" max="7941" width="9.28515625" style="310" customWidth="1"/>
    <col min="7942" max="7942" width="23.85546875" style="310" customWidth="1"/>
    <col min="7943" max="7943" width="64.28515625" style="310" customWidth="1"/>
    <col min="7944" max="8192" width="9.140625" style="310"/>
    <col min="8193" max="8193" width="7.28515625" style="310" customWidth="1"/>
    <col min="8194" max="8194" width="69.28515625" style="310" bestFit="1" customWidth="1"/>
    <col min="8195" max="8195" width="22.42578125" style="310" bestFit="1" customWidth="1"/>
    <col min="8196" max="8196" width="31.28515625" style="310" customWidth="1"/>
    <col min="8197" max="8197" width="9.28515625" style="310" customWidth="1"/>
    <col min="8198" max="8198" width="23.85546875" style="310" customWidth="1"/>
    <col min="8199" max="8199" width="64.28515625" style="310" customWidth="1"/>
    <col min="8200" max="8448" width="9.140625" style="310"/>
    <col min="8449" max="8449" width="7.28515625" style="310" customWidth="1"/>
    <col min="8450" max="8450" width="69.28515625" style="310" bestFit="1" customWidth="1"/>
    <col min="8451" max="8451" width="22.42578125" style="310" bestFit="1" customWidth="1"/>
    <col min="8452" max="8452" width="31.28515625" style="310" customWidth="1"/>
    <col min="8453" max="8453" width="9.28515625" style="310" customWidth="1"/>
    <col min="8454" max="8454" width="23.85546875" style="310" customWidth="1"/>
    <col min="8455" max="8455" width="64.28515625" style="310" customWidth="1"/>
    <col min="8456" max="8704" width="9.140625" style="310"/>
    <col min="8705" max="8705" width="7.28515625" style="310" customWidth="1"/>
    <col min="8706" max="8706" width="69.28515625" style="310" bestFit="1" customWidth="1"/>
    <col min="8707" max="8707" width="22.42578125" style="310" bestFit="1" customWidth="1"/>
    <col min="8708" max="8708" width="31.28515625" style="310" customWidth="1"/>
    <col min="8709" max="8709" width="9.28515625" style="310" customWidth="1"/>
    <col min="8710" max="8710" width="23.85546875" style="310" customWidth="1"/>
    <col min="8711" max="8711" width="64.28515625" style="310" customWidth="1"/>
    <col min="8712" max="8960" width="9.140625" style="310"/>
    <col min="8961" max="8961" width="7.28515625" style="310" customWidth="1"/>
    <col min="8962" max="8962" width="69.28515625" style="310" bestFit="1" customWidth="1"/>
    <col min="8963" max="8963" width="22.42578125" style="310" bestFit="1" customWidth="1"/>
    <col min="8964" max="8964" width="31.28515625" style="310" customWidth="1"/>
    <col min="8965" max="8965" width="9.28515625" style="310" customWidth="1"/>
    <col min="8966" max="8966" width="23.85546875" style="310" customWidth="1"/>
    <col min="8967" max="8967" width="64.28515625" style="310" customWidth="1"/>
    <col min="8968" max="9216" width="9.140625" style="310"/>
    <col min="9217" max="9217" width="7.28515625" style="310" customWidth="1"/>
    <col min="9218" max="9218" width="69.28515625" style="310" bestFit="1" customWidth="1"/>
    <col min="9219" max="9219" width="22.42578125" style="310" bestFit="1" customWidth="1"/>
    <col min="9220" max="9220" width="31.28515625" style="310" customWidth="1"/>
    <col min="9221" max="9221" width="9.28515625" style="310" customWidth="1"/>
    <col min="9222" max="9222" width="23.85546875" style="310" customWidth="1"/>
    <col min="9223" max="9223" width="64.28515625" style="310" customWidth="1"/>
    <col min="9224" max="9472" width="9.140625" style="310"/>
    <col min="9473" max="9473" width="7.28515625" style="310" customWidth="1"/>
    <col min="9474" max="9474" width="69.28515625" style="310" bestFit="1" customWidth="1"/>
    <col min="9475" max="9475" width="22.42578125" style="310" bestFit="1" customWidth="1"/>
    <col min="9476" max="9476" width="31.28515625" style="310" customWidth="1"/>
    <col min="9477" max="9477" width="9.28515625" style="310" customWidth="1"/>
    <col min="9478" max="9478" width="23.85546875" style="310" customWidth="1"/>
    <col min="9479" max="9479" width="64.28515625" style="310" customWidth="1"/>
    <col min="9480" max="9728" width="9.140625" style="310"/>
    <col min="9729" max="9729" width="7.28515625" style="310" customWidth="1"/>
    <col min="9730" max="9730" width="69.28515625" style="310" bestFit="1" customWidth="1"/>
    <col min="9731" max="9731" width="22.42578125" style="310" bestFit="1" customWidth="1"/>
    <col min="9732" max="9732" width="31.28515625" style="310" customWidth="1"/>
    <col min="9733" max="9733" width="9.28515625" style="310" customWidth="1"/>
    <col min="9734" max="9734" width="23.85546875" style="310" customWidth="1"/>
    <col min="9735" max="9735" width="64.28515625" style="310" customWidth="1"/>
    <col min="9736" max="9984" width="9.140625" style="310"/>
    <col min="9985" max="9985" width="7.28515625" style="310" customWidth="1"/>
    <col min="9986" max="9986" width="69.28515625" style="310" bestFit="1" customWidth="1"/>
    <col min="9987" max="9987" width="22.42578125" style="310" bestFit="1" customWidth="1"/>
    <col min="9988" max="9988" width="31.28515625" style="310" customWidth="1"/>
    <col min="9989" max="9989" width="9.28515625" style="310" customWidth="1"/>
    <col min="9990" max="9990" width="23.85546875" style="310" customWidth="1"/>
    <col min="9991" max="9991" width="64.28515625" style="310" customWidth="1"/>
    <col min="9992" max="10240" width="9.140625" style="310"/>
    <col min="10241" max="10241" width="7.28515625" style="310" customWidth="1"/>
    <col min="10242" max="10242" width="69.28515625" style="310" bestFit="1" customWidth="1"/>
    <col min="10243" max="10243" width="22.42578125" style="310" bestFit="1" customWidth="1"/>
    <col min="10244" max="10244" width="31.28515625" style="310" customWidth="1"/>
    <col min="10245" max="10245" width="9.28515625" style="310" customWidth="1"/>
    <col min="10246" max="10246" width="23.85546875" style="310" customWidth="1"/>
    <col min="10247" max="10247" width="64.28515625" style="310" customWidth="1"/>
    <col min="10248" max="10496" width="9.140625" style="310"/>
    <col min="10497" max="10497" width="7.28515625" style="310" customWidth="1"/>
    <col min="10498" max="10498" width="69.28515625" style="310" bestFit="1" customWidth="1"/>
    <col min="10499" max="10499" width="22.42578125" style="310" bestFit="1" customWidth="1"/>
    <col min="10500" max="10500" width="31.28515625" style="310" customWidth="1"/>
    <col min="10501" max="10501" width="9.28515625" style="310" customWidth="1"/>
    <col min="10502" max="10502" width="23.85546875" style="310" customWidth="1"/>
    <col min="10503" max="10503" width="64.28515625" style="310" customWidth="1"/>
    <col min="10504" max="10752" width="9.140625" style="310"/>
    <col min="10753" max="10753" width="7.28515625" style="310" customWidth="1"/>
    <col min="10754" max="10754" width="69.28515625" style="310" bestFit="1" customWidth="1"/>
    <col min="10755" max="10755" width="22.42578125" style="310" bestFit="1" customWidth="1"/>
    <col min="10756" max="10756" width="31.28515625" style="310" customWidth="1"/>
    <col min="10757" max="10757" width="9.28515625" style="310" customWidth="1"/>
    <col min="10758" max="10758" width="23.85546875" style="310" customWidth="1"/>
    <col min="10759" max="10759" width="64.28515625" style="310" customWidth="1"/>
    <col min="10760" max="11008" width="9.140625" style="310"/>
    <col min="11009" max="11009" width="7.28515625" style="310" customWidth="1"/>
    <col min="11010" max="11010" width="69.28515625" style="310" bestFit="1" customWidth="1"/>
    <col min="11011" max="11011" width="22.42578125" style="310" bestFit="1" customWidth="1"/>
    <col min="11012" max="11012" width="31.28515625" style="310" customWidth="1"/>
    <col min="11013" max="11013" width="9.28515625" style="310" customWidth="1"/>
    <col min="11014" max="11014" width="23.85546875" style="310" customWidth="1"/>
    <col min="11015" max="11015" width="64.28515625" style="310" customWidth="1"/>
    <col min="11016" max="11264" width="9.140625" style="310"/>
    <col min="11265" max="11265" width="7.28515625" style="310" customWidth="1"/>
    <col min="11266" max="11266" width="69.28515625" style="310" bestFit="1" customWidth="1"/>
    <col min="11267" max="11267" width="22.42578125" style="310" bestFit="1" customWidth="1"/>
    <col min="11268" max="11268" width="31.28515625" style="310" customWidth="1"/>
    <col min="11269" max="11269" width="9.28515625" style="310" customWidth="1"/>
    <col min="11270" max="11270" width="23.85546875" style="310" customWidth="1"/>
    <col min="11271" max="11271" width="64.28515625" style="310" customWidth="1"/>
    <col min="11272" max="11520" width="9.140625" style="310"/>
    <col min="11521" max="11521" width="7.28515625" style="310" customWidth="1"/>
    <col min="11522" max="11522" width="69.28515625" style="310" bestFit="1" customWidth="1"/>
    <col min="11523" max="11523" width="22.42578125" style="310" bestFit="1" customWidth="1"/>
    <col min="11524" max="11524" width="31.28515625" style="310" customWidth="1"/>
    <col min="11525" max="11525" width="9.28515625" style="310" customWidth="1"/>
    <col min="11526" max="11526" width="23.85546875" style="310" customWidth="1"/>
    <col min="11527" max="11527" width="64.28515625" style="310" customWidth="1"/>
    <col min="11528" max="11776" width="9.140625" style="310"/>
    <col min="11777" max="11777" width="7.28515625" style="310" customWidth="1"/>
    <col min="11778" max="11778" width="69.28515625" style="310" bestFit="1" customWidth="1"/>
    <col min="11779" max="11779" width="22.42578125" style="310" bestFit="1" customWidth="1"/>
    <col min="11780" max="11780" width="31.28515625" style="310" customWidth="1"/>
    <col min="11781" max="11781" width="9.28515625" style="310" customWidth="1"/>
    <col min="11782" max="11782" width="23.85546875" style="310" customWidth="1"/>
    <col min="11783" max="11783" width="64.28515625" style="310" customWidth="1"/>
    <col min="11784" max="12032" width="9.140625" style="310"/>
    <col min="12033" max="12033" width="7.28515625" style="310" customWidth="1"/>
    <col min="12034" max="12034" width="69.28515625" style="310" bestFit="1" customWidth="1"/>
    <col min="12035" max="12035" width="22.42578125" style="310" bestFit="1" customWidth="1"/>
    <col min="12036" max="12036" width="31.28515625" style="310" customWidth="1"/>
    <col min="12037" max="12037" width="9.28515625" style="310" customWidth="1"/>
    <col min="12038" max="12038" width="23.85546875" style="310" customWidth="1"/>
    <col min="12039" max="12039" width="64.28515625" style="310" customWidth="1"/>
    <col min="12040" max="12288" width="9.140625" style="310"/>
    <col min="12289" max="12289" width="7.28515625" style="310" customWidth="1"/>
    <col min="12290" max="12290" width="69.28515625" style="310" bestFit="1" customWidth="1"/>
    <col min="12291" max="12291" width="22.42578125" style="310" bestFit="1" customWidth="1"/>
    <col min="12292" max="12292" width="31.28515625" style="310" customWidth="1"/>
    <col min="12293" max="12293" width="9.28515625" style="310" customWidth="1"/>
    <col min="12294" max="12294" width="23.85546875" style="310" customWidth="1"/>
    <col min="12295" max="12295" width="64.28515625" style="310" customWidth="1"/>
    <col min="12296" max="12544" width="9.140625" style="310"/>
    <col min="12545" max="12545" width="7.28515625" style="310" customWidth="1"/>
    <col min="12546" max="12546" width="69.28515625" style="310" bestFit="1" customWidth="1"/>
    <col min="12547" max="12547" width="22.42578125" style="310" bestFit="1" customWidth="1"/>
    <col min="12548" max="12548" width="31.28515625" style="310" customWidth="1"/>
    <col min="12549" max="12549" width="9.28515625" style="310" customWidth="1"/>
    <col min="12550" max="12550" width="23.85546875" style="310" customWidth="1"/>
    <col min="12551" max="12551" width="64.28515625" style="310" customWidth="1"/>
    <col min="12552" max="12800" width="9.140625" style="310"/>
    <col min="12801" max="12801" width="7.28515625" style="310" customWidth="1"/>
    <col min="12802" max="12802" width="69.28515625" style="310" bestFit="1" customWidth="1"/>
    <col min="12803" max="12803" width="22.42578125" style="310" bestFit="1" customWidth="1"/>
    <col min="12804" max="12804" width="31.28515625" style="310" customWidth="1"/>
    <col min="12805" max="12805" width="9.28515625" style="310" customWidth="1"/>
    <col min="12806" max="12806" width="23.85546875" style="310" customWidth="1"/>
    <col min="12807" max="12807" width="64.28515625" style="310" customWidth="1"/>
    <col min="12808" max="13056" width="9.140625" style="310"/>
    <col min="13057" max="13057" width="7.28515625" style="310" customWidth="1"/>
    <col min="13058" max="13058" width="69.28515625" style="310" bestFit="1" customWidth="1"/>
    <col min="13059" max="13059" width="22.42578125" style="310" bestFit="1" customWidth="1"/>
    <col min="13060" max="13060" width="31.28515625" style="310" customWidth="1"/>
    <col min="13061" max="13061" width="9.28515625" style="310" customWidth="1"/>
    <col min="13062" max="13062" width="23.85546875" style="310" customWidth="1"/>
    <col min="13063" max="13063" width="64.28515625" style="310" customWidth="1"/>
    <col min="13064" max="13312" width="9.140625" style="310"/>
    <col min="13313" max="13313" width="7.28515625" style="310" customWidth="1"/>
    <col min="13314" max="13314" width="69.28515625" style="310" bestFit="1" customWidth="1"/>
    <col min="13315" max="13315" width="22.42578125" style="310" bestFit="1" customWidth="1"/>
    <col min="13316" max="13316" width="31.28515625" style="310" customWidth="1"/>
    <col min="13317" max="13317" width="9.28515625" style="310" customWidth="1"/>
    <col min="13318" max="13318" width="23.85546875" style="310" customWidth="1"/>
    <col min="13319" max="13319" width="64.28515625" style="310" customWidth="1"/>
    <col min="13320" max="13568" width="9.140625" style="310"/>
    <col min="13569" max="13569" width="7.28515625" style="310" customWidth="1"/>
    <col min="13570" max="13570" width="69.28515625" style="310" bestFit="1" customWidth="1"/>
    <col min="13571" max="13571" width="22.42578125" style="310" bestFit="1" customWidth="1"/>
    <col min="13572" max="13572" width="31.28515625" style="310" customWidth="1"/>
    <col min="13573" max="13573" width="9.28515625" style="310" customWidth="1"/>
    <col min="13574" max="13574" width="23.85546875" style="310" customWidth="1"/>
    <col min="13575" max="13575" width="64.28515625" style="310" customWidth="1"/>
    <col min="13576" max="13824" width="9.140625" style="310"/>
    <col min="13825" max="13825" width="7.28515625" style="310" customWidth="1"/>
    <col min="13826" max="13826" width="69.28515625" style="310" bestFit="1" customWidth="1"/>
    <col min="13827" max="13827" width="22.42578125" style="310" bestFit="1" customWidth="1"/>
    <col min="13828" max="13828" width="31.28515625" style="310" customWidth="1"/>
    <col min="13829" max="13829" width="9.28515625" style="310" customWidth="1"/>
    <col min="13830" max="13830" width="23.85546875" style="310" customWidth="1"/>
    <col min="13831" max="13831" width="64.28515625" style="310" customWidth="1"/>
    <col min="13832" max="14080" width="9.140625" style="310"/>
    <col min="14081" max="14081" width="7.28515625" style="310" customWidth="1"/>
    <col min="14082" max="14082" width="69.28515625" style="310" bestFit="1" customWidth="1"/>
    <col min="14083" max="14083" width="22.42578125" style="310" bestFit="1" customWidth="1"/>
    <col min="14084" max="14084" width="31.28515625" style="310" customWidth="1"/>
    <col min="14085" max="14085" width="9.28515625" style="310" customWidth="1"/>
    <col min="14086" max="14086" width="23.85546875" style="310" customWidth="1"/>
    <col min="14087" max="14087" width="64.28515625" style="310" customWidth="1"/>
    <col min="14088" max="14336" width="9.140625" style="310"/>
    <col min="14337" max="14337" width="7.28515625" style="310" customWidth="1"/>
    <col min="14338" max="14338" width="69.28515625" style="310" bestFit="1" customWidth="1"/>
    <col min="14339" max="14339" width="22.42578125" style="310" bestFit="1" customWidth="1"/>
    <col min="14340" max="14340" width="31.28515625" style="310" customWidth="1"/>
    <col min="14341" max="14341" width="9.28515625" style="310" customWidth="1"/>
    <col min="14342" max="14342" width="23.85546875" style="310" customWidth="1"/>
    <col min="14343" max="14343" width="64.28515625" style="310" customWidth="1"/>
    <col min="14344" max="14592" width="9.140625" style="310"/>
    <col min="14593" max="14593" width="7.28515625" style="310" customWidth="1"/>
    <col min="14594" max="14594" width="69.28515625" style="310" bestFit="1" customWidth="1"/>
    <col min="14595" max="14595" width="22.42578125" style="310" bestFit="1" customWidth="1"/>
    <col min="14596" max="14596" width="31.28515625" style="310" customWidth="1"/>
    <col min="14597" max="14597" width="9.28515625" style="310" customWidth="1"/>
    <col min="14598" max="14598" width="23.85546875" style="310" customWidth="1"/>
    <col min="14599" max="14599" width="64.28515625" style="310" customWidth="1"/>
    <col min="14600" max="14848" width="9.140625" style="310"/>
    <col min="14849" max="14849" width="7.28515625" style="310" customWidth="1"/>
    <col min="14850" max="14850" width="69.28515625" style="310" bestFit="1" customWidth="1"/>
    <col min="14851" max="14851" width="22.42578125" style="310" bestFit="1" customWidth="1"/>
    <col min="14852" max="14852" width="31.28515625" style="310" customWidth="1"/>
    <col min="14853" max="14853" width="9.28515625" style="310" customWidth="1"/>
    <col min="14854" max="14854" width="23.85546875" style="310" customWidth="1"/>
    <col min="14855" max="14855" width="64.28515625" style="310" customWidth="1"/>
    <col min="14856" max="15104" width="9.140625" style="310"/>
    <col min="15105" max="15105" width="7.28515625" style="310" customWidth="1"/>
    <col min="15106" max="15106" width="69.28515625" style="310" bestFit="1" customWidth="1"/>
    <col min="15107" max="15107" width="22.42578125" style="310" bestFit="1" customWidth="1"/>
    <col min="15108" max="15108" width="31.28515625" style="310" customWidth="1"/>
    <col min="15109" max="15109" width="9.28515625" style="310" customWidth="1"/>
    <col min="15110" max="15110" width="23.85546875" style="310" customWidth="1"/>
    <col min="15111" max="15111" width="64.28515625" style="310" customWidth="1"/>
    <col min="15112" max="15360" width="9.140625" style="310"/>
    <col min="15361" max="15361" width="7.28515625" style="310" customWidth="1"/>
    <col min="15362" max="15362" width="69.28515625" style="310" bestFit="1" customWidth="1"/>
    <col min="15363" max="15363" width="22.42578125" style="310" bestFit="1" customWidth="1"/>
    <col min="15364" max="15364" width="31.28515625" style="310" customWidth="1"/>
    <col min="15365" max="15365" width="9.28515625" style="310" customWidth="1"/>
    <col min="15366" max="15366" width="23.85546875" style="310" customWidth="1"/>
    <col min="15367" max="15367" width="64.28515625" style="310" customWidth="1"/>
    <col min="15368" max="15616" width="9.140625" style="310"/>
    <col min="15617" max="15617" width="7.28515625" style="310" customWidth="1"/>
    <col min="15618" max="15618" width="69.28515625" style="310" bestFit="1" customWidth="1"/>
    <col min="15619" max="15619" width="22.42578125" style="310" bestFit="1" customWidth="1"/>
    <col min="15620" max="15620" width="31.28515625" style="310" customWidth="1"/>
    <col min="15621" max="15621" width="9.28515625" style="310" customWidth="1"/>
    <col min="15622" max="15622" width="23.85546875" style="310" customWidth="1"/>
    <col min="15623" max="15623" width="64.28515625" style="310" customWidth="1"/>
    <col min="15624" max="15872" width="9.140625" style="310"/>
    <col min="15873" max="15873" width="7.28515625" style="310" customWidth="1"/>
    <col min="15874" max="15874" width="69.28515625" style="310" bestFit="1" customWidth="1"/>
    <col min="15875" max="15875" width="22.42578125" style="310" bestFit="1" customWidth="1"/>
    <col min="15876" max="15876" width="31.28515625" style="310" customWidth="1"/>
    <col min="15877" max="15877" width="9.28515625" style="310" customWidth="1"/>
    <col min="15878" max="15878" width="23.85546875" style="310" customWidth="1"/>
    <col min="15879" max="15879" width="64.28515625" style="310" customWidth="1"/>
    <col min="15880" max="16128" width="9.140625" style="310"/>
    <col min="16129" max="16129" width="7.28515625" style="310" customWidth="1"/>
    <col min="16130" max="16130" width="69.28515625" style="310" bestFit="1" customWidth="1"/>
    <col min="16131" max="16131" width="22.42578125" style="310" bestFit="1" customWidth="1"/>
    <col min="16132" max="16132" width="31.28515625" style="310" customWidth="1"/>
    <col min="16133" max="16133" width="9.28515625" style="310" customWidth="1"/>
    <col min="16134" max="16134" width="23.85546875" style="310" customWidth="1"/>
    <col min="16135" max="16135" width="64.28515625" style="310" customWidth="1"/>
    <col min="16136" max="16384" width="9.140625" style="310"/>
  </cols>
  <sheetData>
    <row r="1" spans="1:6" ht="20.25" customHeight="1" x14ac:dyDescent="0.25">
      <c r="B1" s="311" t="s">
        <v>797</v>
      </c>
      <c r="C1" s="312"/>
      <c r="D1" s="312"/>
      <c r="E1" s="312"/>
      <c r="F1" s="313"/>
    </row>
    <row r="2" spans="1:6" ht="15.75" customHeight="1" x14ac:dyDescent="0.25">
      <c r="B2" s="314"/>
      <c r="C2" s="314"/>
      <c r="D2" s="314"/>
      <c r="E2" s="314"/>
      <c r="F2" s="315"/>
    </row>
    <row r="3" spans="1:6" ht="15.75" customHeight="1" x14ac:dyDescent="0.25">
      <c r="A3" s="316" t="s">
        <v>682</v>
      </c>
      <c r="B3" s="317" t="s">
        <v>683</v>
      </c>
      <c r="C3" s="434" t="s">
        <v>805</v>
      </c>
      <c r="D3" s="319"/>
      <c r="E3" s="319"/>
      <c r="F3" s="320" t="s">
        <v>815</v>
      </c>
    </row>
    <row r="4" spans="1:6" ht="15.75" customHeight="1" x14ac:dyDescent="0.25">
      <c r="A4" s="321"/>
      <c r="F4" s="322"/>
    </row>
    <row r="5" spans="1:6" ht="15.75" customHeight="1" thickBot="1" x14ac:dyDescent="0.3">
      <c r="A5" s="321"/>
      <c r="B5" s="317" t="s">
        <v>684</v>
      </c>
    </row>
    <row r="6" spans="1:6" ht="15.75" customHeight="1" x14ac:dyDescent="0.25">
      <c r="A6" s="323" t="s">
        <v>808</v>
      </c>
      <c r="B6" s="324" t="s">
        <v>685</v>
      </c>
      <c r="C6" s="325">
        <f>'ARTICLE 2 WITH 2% '!F55</f>
        <v>2880982.1617999999</v>
      </c>
      <c r="D6" s="326" t="s">
        <v>686</v>
      </c>
      <c r="E6" s="327"/>
      <c r="F6" s="328"/>
    </row>
    <row r="7" spans="1:6" ht="15.75" customHeight="1" x14ac:dyDescent="0.25">
      <c r="A7" s="329" t="s">
        <v>809</v>
      </c>
      <c r="B7" s="330" t="s">
        <v>687</v>
      </c>
      <c r="C7" s="331">
        <f>'ARTICLE 2'!F59</f>
        <v>2135585</v>
      </c>
      <c r="D7" s="332" t="s">
        <v>686</v>
      </c>
      <c r="E7" s="327"/>
      <c r="F7" s="328"/>
    </row>
    <row r="8" spans="1:6" ht="15.75" customHeight="1" x14ac:dyDescent="0.25">
      <c r="A8" s="329" t="s">
        <v>810</v>
      </c>
      <c r="B8" s="330" t="s">
        <v>688</v>
      </c>
      <c r="C8" s="331">
        <f>'ARTICLE 2'!F64</f>
        <v>1604965</v>
      </c>
      <c r="D8" s="332" t="s">
        <v>686</v>
      </c>
      <c r="E8" s="327"/>
      <c r="F8" s="328"/>
    </row>
    <row r="9" spans="1:6" ht="15.75" customHeight="1" x14ac:dyDescent="0.25">
      <c r="A9" s="329" t="s">
        <v>811</v>
      </c>
      <c r="B9" s="330" t="s">
        <v>491</v>
      </c>
      <c r="C9" s="331">
        <f>'ARTICLE 2'!F69</f>
        <v>171272</v>
      </c>
      <c r="D9" s="332" t="s">
        <v>686</v>
      </c>
      <c r="E9" s="327"/>
      <c r="F9" s="328" t="s">
        <v>733</v>
      </c>
    </row>
    <row r="10" spans="1:6" ht="15.75" customHeight="1" x14ac:dyDescent="0.25">
      <c r="A10" s="329" t="s">
        <v>812</v>
      </c>
      <c r="B10" s="330" t="s">
        <v>689</v>
      </c>
      <c r="C10" s="331">
        <f>'ARTICLE 2'!F73</f>
        <v>52905.600000000006</v>
      </c>
      <c r="D10" s="332" t="s">
        <v>686</v>
      </c>
      <c r="E10" s="333"/>
      <c r="F10" s="334">
        <v>6573331.3090000004</v>
      </c>
    </row>
    <row r="11" spans="1:6" ht="15.75" customHeight="1" x14ac:dyDescent="0.25">
      <c r="A11" s="329"/>
      <c r="B11" s="330" t="s">
        <v>690</v>
      </c>
      <c r="C11" s="335"/>
      <c r="D11" s="336">
        <f>SUM(C6:C10)</f>
        <v>6845709.7617999995</v>
      </c>
      <c r="E11" s="327"/>
      <c r="F11" s="337">
        <f>(D11-F10)/D11</f>
        <v>3.9788197612453322E-2</v>
      </c>
    </row>
    <row r="12" spans="1:6" ht="15.75" customHeight="1" x14ac:dyDescent="0.25">
      <c r="A12" s="329"/>
      <c r="B12" s="338" t="s">
        <v>691</v>
      </c>
      <c r="C12" s="335"/>
      <c r="D12" s="332"/>
      <c r="F12" s="339" t="s">
        <v>710</v>
      </c>
    </row>
    <row r="13" spans="1:6" ht="15.75" customHeight="1" x14ac:dyDescent="0.25">
      <c r="A13" s="329">
        <v>5</v>
      </c>
      <c r="B13" s="330" t="s">
        <v>764</v>
      </c>
      <c r="C13" s="416">
        <v>10000</v>
      </c>
      <c r="D13" s="340" t="s">
        <v>758</v>
      </c>
      <c r="F13" s="339"/>
    </row>
    <row r="14" spans="1:6" ht="15.75" customHeight="1" x14ac:dyDescent="0.25">
      <c r="A14" s="329">
        <v>6</v>
      </c>
      <c r="B14" s="413" t="s">
        <v>788</v>
      </c>
      <c r="C14" s="417">
        <v>311000</v>
      </c>
      <c r="D14" s="414" t="s">
        <v>789</v>
      </c>
      <c r="F14" s="341"/>
    </row>
    <row r="15" spans="1:6" ht="15.75" customHeight="1" x14ac:dyDescent="0.25">
      <c r="A15" s="329">
        <v>7</v>
      </c>
      <c r="B15" s="413" t="s">
        <v>788</v>
      </c>
      <c r="C15" s="417">
        <v>84695.07</v>
      </c>
      <c r="D15" s="414" t="s">
        <v>790</v>
      </c>
    </row>
    <row r="16" spans="1:6" ht="15.75" customHeight="1" x14ac:dyDescent="0.25">
      <c r="A16" s="329">
        <v>8</v>
      </c>
      <c r="B16" s="413" t="s">
        <v>737</v>
      </c>
      <c r="C16" s="417">
        <v>100000</v>
      </c>
      <c r="D16" s="414" t="s">
        <v>758</v>
      </c>
      <c r="F16" s="342"/>
    </row>
    <row r="17" spans="1:7" ht="15.75" customHeight="1" x14ac:dyDescent="0.25">
      <c r="A17" s="329">
        <v>9</v>
      </c>
      <c r="B17" s="413" t="s">
        <v>793</v>
      </c>
      <c r="C17" s="417">
        <v>70000</v>
      </c>
      <c r="D17" s="414" t="s">
        <v>794</v>
      </c>
      <c r="F17" s="342"/>
    </row>
    <row r="18" spans="1:7" ht="15.75" customHeight="1" x14ac:dyDescent="0.25">
      <c r="A18" s="329">
        <v>10</v>
      </c>
      <c r="B18" s="413" t="s">
        <v>806</v>
      </c>
      <c r="C18" s="417">
        <v>80000</v>
      </c>
      <c r="D18" s="414" t="s">
        <v>794</v>
      </c>
      <c r="F18" s="342"/>
    </row>
    <row r="19" spans="1:7" ht="15.75" customHeight="1" x14ac:dyDescent="0.25">
      <c r="A19" s="329">
        <v>11</v>
      </c>
      <c r="B19" s="413" t="s">
        <v>791</v>
      </c>
      <c r="C19" s="417">
        <v>40000</v>
      </c>
      <c r="D19" s="414" t="s">
        <v>789</v>
      </c>
      <c r="F19" s="341"/>
    </row>
    <row r="20" spans="1:7" ht="15.75" customHeight="1" x14ac:dyDescent="0.25">
      <c r="A20" s="329">
        <v>12</v>
      </c>
      <c r="B20" s="413" t="s">
        <v>792</v>
      </c>
      <c r="C20" s="417">
        <v>99000</v>
      </c>
      <c r="D20" s="414" t="s">
        <v>789</v>
      </c>
      <c r="F20" s="341"/>
      <c r="G20" s="344"/>
    </row>
    <row r="21" spans="1:7" ht="15.75" customHeight="1" x14ac:dyDescent="0.25">
      <c r="A21" s="329">
        <v>13</v>
      </c>
      <c r="B21" s="413" t="s">
        <v>735</v>
      </c>
      <c r="C21" s="417">
        <v>31138</v>
      </c>
      <c r="D21" s="414" t="s">
        <v>736</v>
      </c>
      <c r="F21" s="346"/>
    </row>
    <row r="22" spans="1:7" ht="15.75" customHeight="1" x14ac:dyDescent="0.25">
      <c r="A22" s="329">
        <v>14</v>
      </c>
      <c r="B22" s="413" t="s">
        <v>734</v>
      </c>
      <c r="C22" s="417">
        <v>65270</v>
      </c>
      <c r="D22" s="414" t="s">
        <v>758</v>
      </c>
      <c r="F22" s="347"/>
    </row>
    <row r="23" spans="1:7" ht="15.75" customHeight="1" x14ac:dyDescent="0.25">
      <c r="A23" s="329">
        <v>15</v>
      </c>
      <c r="B23" s="413" t="s">
        <v>770</v>
      </c>
      <c r="C23" s="417">
        <v>9600</v>
      </c>
      <c r="D23" s="414" t="s">
        <v>758</v>
      </c>
      <c r="F23" s="342"/>
    </row>
    <row r="24" spans="1:7" ht="15.75" customHeight="1" x14ac:dyDescent="0.25">
      <c r="A24" s="329">
        <v>18</v>
      </c>
      <c r="B24" s="413" t="s">
        <v>756</v>
      </c>
      <c r="C24" s="417">
        <v>20000</v>
      </c>
      <c r="D24" s="414" t="s">
        <v>758</v>
      </c>
      <c r="F24" s="345"/>
    </row>
    <row r="25" spans="1:7" ht="15.75" customHeight="1" x14ac:dyDescent="0.25">
      <c r="A25" s="329">
        <v>19</v>
      </c>
      <c r="B25" s="413" t="s">
        <v>757</v>
      </c>
      <c r="C25" s="417">
        <v>12811</v>
      </c>
      <c r="D25" s="414" t="s">
        <v>758</v>
      </c>
      <c r="F25" s="345"/>
    </row>
    <row r="26" spans="1:7" ht="15.75" customHeight="1" x14ac:dyDescent="0.25">
      <c r="A26" s="329">
        <v>21</v>
      </c>
      <c r="B26" s="413" t="s">
        <v>759</v>
      </c>
      <c r="C26" s="416">
        <v>10000</v>
      </c>
      <c r="D26" s="414" t="s">
        <v>758</v>
      </c>
      <c r="F26" s="341"/>
    </row>
    <row r="27" spans="1:7" ht="15.75" customHeight="1" x14ac:dyDescent="0.25">
      <c r="A27" s="329">
        <v>22</v>
      </c>
      <c r="B27" s="413" t="s">
        <v>795</v>
      </c>
      <c r="C27" s="417">
        <f>17300+3600+3100</f>
        <v>24000</v>
      </c>
      <c r="D27" s="414" t="s">
        <v>796</v>
      </c>
      <c r="F27" s="341"/>
    </row>
    <row r="28" spans="1:7" ht="15.75" customHeight="1" x14ac:dyDescent="0.25">
      <c r="A28" s="329">
        <v>23</v>
      </c>
      <c r="B28" s="330" t="s">
        <v>760</v>
      </c>
      <c r="C28" s="416">
        <v>5000</v>
      </c>
      <c r="D28" s="340" t="s">
        <v>758</v>
      </c>
      <c r="F28" s="341"/>
    </row>
    <row r="29" spans="1:7" ht="15.75" customHeight="1" x14ac:dyDescent="0.25">
      <c r="A29" s="329">
        <v>24</v>
      </c>
      <c r="B29" s="330" t="s">
        <v>761</v>
      </c>
      <c r="C29" s="416">
        <v>5000</v>
      </c>
      <c r="D29" s="340" t="s">
        <v>758</v>
      </c>
      <c r="F29" s="341"/>
    </row>
    <row r="30" spans="1:7" ht="15.75" customHeight="1" x14ac:dyDescent="0.25">
      <c r="A30" s="329">
        <v>25</v>
      </c>
      <c r="B30" s="330" t="s">
        <v>762</v>
      </c>
      <c r="C30" s="335">
        <v>2845</v>
      </c>
      <c r="D30" s="340" t="s">
        <v>758</v>
      </c>
      <c r="F30" s="341"/>
    </row>
    <row r="31" spans="1:7" ht="15.75" customHeight="1" x14ac:dyDescent="0.25">
      <c r="A31" s="329" t="s">
        <v>813</v>
      </c>
      <c r="B31" s="330" t="s">
        <v>814</v>
      </c>
      <c r="C31" s="335">
        <v>16463</v>
      </c>
      <c r="D31" s="340" t="s">
        <v>768</v>
      </c>
      <c r="F31" s="341"/>
    </row>
    <row r="32" spans="1:7" ht="15.75" customHeight="1" x14ac:dyDescent="0.25">
      <c r="A32" s="329" t="s">
        <v>807</v>
      </c>
      <c r="B32" s="330" t="s">
        <v>769</v>
      </c>
      <c r="C32" s="335">
        <v>45000</v>
      </c>
      <c r="D32" s="340" t="s">
        <v>768</v>
      </c>
    </row>
    <row r="33" spans="1:8" ht="15.75" customHeight="1" x14ac:dyDescent="0.25">
      <c r="A33" s="329"/>
      <c r="B33" s="330"/>
      <c r="C33" s="343"/>
      <c r="D33" s="340"/>
      <c r="F33" s="348"/>
      <c r="G33" s="318"/>
    </row>
    <row r="34" spans="1:8" ht="15.75" customHeight="1" x14ac:dyDescent="0.25">
      <c r="A34" s="329"/>
      <c r="B34" s="330"/>
      <c r="C34" s="343"/>
      <c r="D34" s="340"/>
      <c r="F34" s="348"/>
      <c r="G34" s="318"/>
    </row>
    <row r="35" spans="1:8" ht="15.75" customHeight="1" x14ac:dyDescent="0.25">
      <c r="A35" s="329"/>
      <c r="B35" s="330"/>
      <c r="C35" s="343"/>
      <c r="D35" s="340"/>
      <c r="F35" s="348"/>
      <c r="G35" s="318"/>
    </row>
    <row r="36" spans="1:8" ht="15.75" customHeight="1" x14ac:dyDescent="0.25">
      <c r="A36" s="329"/>
      <c r="B36" s="349" t="s">
        <v>692</v>
      </c>
      <c r="C36" s="335"/>
      <c r="D36" s="340"/>
    </row>
    <row r="37" spans="1:8" ht="15.75" customHeight="1" x14ac:dyDescent="0.25">
      <c r="A37" s="329"/>
      <c r="B37" s="350" t="s">
        <v>693</v>
      </c>
      <c r="C37" s="351">
        <f>289040+5089</f>
        <v>294129</v>
      </c>
      <c r="D37" s="352" t="s">
        <v>694</v>
      </c>
      <c r="E37" s="353"/>
      <c r="F37" s="318"/>
    </row>
    <row r="38" spans="1:8" ht="15.75" customHeight="1" x14ac:dyDescent="0.25">
      <c r="A38" s="329"/>
      <c r="B38" s="350" t="s">
        <v>695</v>
      </c>
      <c r="C38" s="351">
        <v>43698</v>
      </c>
      <c r="D38" s="354" t="s">
        <v>694</v>
      </c>
      <c r="E38" s="355"/>
      <c r="F38" s="318"/>
    </row>
    <row r="39" spans="1:8" ht="15.75" customHeight="1" x14ac:dyDescent="0.25">
      <c r="A39" s="329"/>
      <c r="B39" s="350" t="s">
        <v>696</v>
      </c>
      <c r="C39" s="351">
        <v>45000</v>
      </c>
      <c r="D39" s="352" t="s">
        <v>694</v>
      </c>
      <c r="E39" s="353"/>
    </row>
    <row r="40" spans="1:8" ht="15.75" customHeight="1" x14ac:dyDescent="0.25">
      <c r="A40" s="329"/>
      <c r="B40" s="350"/>
      <c r="C40" s="351"/>
      <c r="D40" s="340"/>
      <c r="F40" s="318"/>
    </row>
    <row r="41" spans="1:8" ht="15.75" customHeight="1" thickBot="1" x14ac:dyDescent="0.3">
      <c r="A41" s="329"/>
      <c r="B41" s="356" t="s">
        <v>697</v>
      </c>
      <c r="C41" s="387">
        <f>SUM(C6:C39)</f>
        <v>8270358.8317999998</v>
      </c>
      <c r="D41" s="352"/>
      <c r="E41" s="353"/>
      <c r="F41" s="357" t="s">
        <v>698</v>
      </c>
      <c r="G41" s="418">
        <v>386548</v>
      </c>
    </row>
    <row r="42" spans="1:8" ht="15.75" customHeight="1" x14ac:dyDescent="0.25">
      <c r="A42" s="329"/>
      <c r="B42" s="358"/>
      <c r="C42" s="351"/>
      <c r="D42" s="340"/>
      <c r="F42" s="324" t="s">
        <v>764</v>
      </c>
      <c r="G42" s="326">
        <v>10000</v>
      </c>
    </row>
    <row r="43" spans="1:8" ht="15.75" customHeight="1" x14ac:dyDescent="0.25">
      <c r="A43" s="329"/>
      <c r="B43" s="349" t="s">
        <v>699</v>
      </c>
      <c r="C43" s="351"/>
      <c r="D43" s="340"/>
      <c r="F43" s="330" t="s">
        <v>737</v>
      </c>
      <c r="G43" s="419">
        <v>100000</v>
      </c>
      <c r="H43" s="1"/>
    </row>
    <row r="44" spans="1:8" ht="15.75" customHeight="1" x14ac:dyDescent="0.25">
      <c r="A44" s="329"/>
      <c r="B44" s="350" t="s">
        <v>700</v>
      </c>
      <c r="C44" s="351">
        <v>1213334</v>
      </c>
      <c r="D44" s="340"/>
      <c r="F44" s="330" t="s">
        <v>734</v>
      </c>
      <c r="G44" s="419">
        <v>65270</v>
      </c>
    </row>
    <row r="45" spans="1:8" ht="15.75" customHeight="1" x14ac:dyDescent="0.25">
      <c r="A45" s="329"/>
      <c r="B45" s="350" t="s">
        <v>701</v>
      </c>
      <c r="C45" s="335">
        <v>234000</v>
      </c>
      <c r="D45" s="340"/>
      <c r="F45" s="330" t="s">
        <v>770</v>
      </c>
      <c r="G45" s="419">
        <v>9600</v>
      </c>
    </row>
    <row r="46" spans="1:8" ht="15.75" customHeight="1" x14ac:dyDescent="0.25">
      <c r="A46" s="359"/>
      <c r="B46" s="350"/>
      <c r="C46" s="335"/>
      <c r="D46" s="360"/>
      <c r="E46" s="361"/>
      <c r="F46" s="330" t="s">
        <v>756</v>
      </c>
      <c r="G46" s="419">
        <v>20000</v>
      </c>
    </row>
    <row r="47" spans="1:8" ht="15.75" customHeight="1" x14ac:dyDescent="0.25">
      <c r="A47" s="329"/>
      <c r="B47" s="362"/>
      <c r="C47" s="335"/>
      <c r="D47" s="340"/>
      <c r="F47" s="330" t="s">
        <v>757</v>
      </c>
      <c r="G47" s="419">
        <v>12811</v>
      </c>
    </row>
    <row r="48" spans="1:8" ht="15.75" customHeight="1" x14ac:dyDescent="0.25">
      <c r="A48" s="329">
        <v>5</v>
      </c>
      <c r="B48" s="330" t="s">
        <v>764</v>
      </c>
      <c r="C48" s="416">
        <v>10000</v>
      </c>
      <c r="D48" s="340" t="s">
        <v>758</v>
      </c>
      <c r="F48" s="330" t="s">
        <v>759</v>
      </c>
      <c r="G48" s="332">
        <v>10000</v>
      </c>
    </row>
    <row r="49" spans="1:7" ht="15.75" customHeight="1" x14ac:dyDescent="0.25">
      <c r="A49" s="329">
        <v>6</v>
      </c>
      <c r="B49" s="413" t="s">
        <v>788</v>
      </c>
      <c r="C49" s="417">
        <v>311000</v>
      </c>
      <c r="D49" s="414" t="s">
        <v>789</v>
      </c>
      <c r="F49" s="330" t="s">
        <v>760</v>
      </c>
      <c r="G49" s="332">
        <v>5000</v>
      </c>
    </row>
    <row r="50" spans="1:7" ht="15.75" customHeight="1" x14ac:dyDescent="0.25">
      <c r="A50" s="329">
        <v>7</v>
      </c>
      <c r="B50" s="413" t="s">
        <v>788</v>
      </c>
      <c r="C50" s="417">
        <v>84695.07</v>
      </c>
      <c r="D50" s="414" t="s">
        <v>790</v>
      </c>
      <c r="F50" s="330" t="s">
        <v>761</v>
      </c>
      <c r="G50" s="332">
        <v>5000</v>
      </c>
    </row>
    <row r="51" spans="1:7" ht="15.75" customHeight="1" x14ac:dyDescent="0.25">
      <c r="A51" s="329">
        <v>8</v>
      </c>
      <c r="B51" s="413" t="s">
        <v>737</v>
      </c>
      <c r="C51" s="417">
        <v>100000</v>
      </c>
      <c r="D51" s="414" t="s">
        <v>758</v>
      </c>
      <c r="F51" s="330" t="s">
        <v>762</v>
      </c>
      <c r="G51" s="420">
        <v>2845</v>
      </c>
    </row>
    <row r="52" spans="1:7" ht="15.75" customHeight="1" x14ac:dyDescent="0.25">
      <c r="A52" s="329">
        <v>9</v>
      </c>
      <c r="B52" s="413" t="s">
        <v>793</v>
      </c>
      <c r="C52" s="417">
        <v>70000</v>
      </c>
      <c r="D52" s="414" t="s">
        <v>794</v>
      </c>
      <c r="F52" s="330" t="s">
        <v>7</v>
      </c>
      <c r="G52" s="435">
        <f>SUM(G42:G51)</f>
        <v>240526</v>
      </c>
    </row>
    <row r="53" spans="1:7" ht="15.75" customHeight="1" thickBot="1" x14ac:dyDescent="0.3">
      <c r="A53" s="329">
        <v>10</v>
      </c>
      <c r="B53" s="413" t="s">
        <v>806</v>
      </c>
      <c r="C53" s="417">
        <v>80000</v>
      </c>
      <c r="D53" s="414" t="s">
        <v>794</v>
      </c>
      <c r="F53" s="421" t="s">
        <v>702</v>
      </c>
      <c r="G53" s="436">
        <f>G41-G52</f>
        <v>146022</v>
      </c>
    </row>
    <row r="54" spans="1:7" ht="15.75" customHeight="1" x14ac:dyDescent="0.25">
      <c r="A54" s="329">
        <v>11</v>
      </c>
      <c r="B54" s="413" t="s">
        <v>791</v>
      </c>
      <c r="C54" s="417">
        <v>40000</v>
      </c>
      <c r="D54" s="414" t="s">
        <v>789</v>
      </c>
      <c r="F54" s="1"/>
      <c r="G54" s="1"/>
    </row>
    <row r="55" spans="1:7" ht="15.75" customHeight="1" x14ac:dyDescent="0.25">
      <c r="A55" s="329">
        <v>12</v>
      </c>
      <c r="B55" s="413" t="s">
        <v>792</v>
      </c>
      <c r="C55" s="417">
        <v>99000</v>
      </c>
      <c r="D55" s="414" t="s">
        <v>789</v>
      </c>
      <c r="F55" s="1"/>
      <c r="G55" s="1"/>
    </row>
    <row r="56" spans="1:7" ht="15.75" customHeight="1" x14ac:dyDescent="0.25">
      <c r="A56" s="329">
        <v>13</v>
      </c>
      <c r="B56" s="413" t="s">
        <v>735</v>
      </c>
      <c r="C56" s="417">
        <v>31138</v>
      </c>
      <c r="D56" s="414" t="s">
        <v>736</v>
      </c>
      <c r="F56" s="1"/>
      <c r="G56" s="1"/>
    </row>
    <row r="57" spans="1:7" ht="15.75" customHeight="1" x14ac:dyDescent="0.25">
      <c r="A57" s="329">
        <v>14</v>
      </c>
      <c r="B57" s="413" t="s">
        <v>734</v>
      </c>
      <c r="C57" s="417">
        <v>65270</v>
      </c>
      <c r="D57" s="414" t="s">
        <v>758</v>
      </c>
      <c r="F57" s="1"/>
      <c r="G57" s="1"/>
    </row>
    <row r="58" spans="1:7" ht="15.75" customHeight="1" x14ac:dyDescent="0.25">
      <c r="A58" s="329">
        <v>15</v>
      </c>
      <c r="B58" s="413" t="s">
        <v>770</v>
      </c>
      <c r="C58" s="417">
        <v>9600</v>
      </c>
      <c r="D58" s="414" t="s">
        <v>758</v>
      </c>
      <c r="F58" s="1"/>
      <c r="G58" s="1"/>
    </row>
    <row r="59" spans="1:7" ht="15.75" customHeight="1" x14ac:dyDescent="0.25">
      <c r="A59" s="329">
        <v>18</v>
      </c>
      <c r="B59" s="413" t="s">
        <v>756</v>
      </c>
      <c r="C59" s="417">
        <v>20000</v>
      </c>
      <c r="D59" s="414" t="s">
        <v>758</v>
      </c>
      <c r="F59" s="1"/>
      <c r="G59" s="1"/>
    </row>
    <row r="60" spans="1:7" ht="15.75" customHeight="1" x14ac:dyDescent="0.25">
      <c r="A60" s="329">
        <v>19</v>
      </c>
      <c r="B60" s="413" t="s">
        <v>757</v>
      </c>
      <c r="C60" s="417">
        <v>12811</v>
      </c>
      <c r="D60" s="414" t="s">
        <v>758</v>
      </c>
    </row>
    <row r="61" spans="1:7" ht="15.75" customHeight="1" x14ac:dyDescent="0.25">
      <c r="A61" s="329">
        <v>21</v>
      </c>
      <c r="B61" s="413" t="s">
        <v>759</v>
      </c>
      <c r="C61" s="416">
        <v>10000</v>
      </c>
      <c r="D61" s="414" t="s">
        <v>758</v>
      </c>
    </row>
    <row r="62" spans="1:7" ht="15.75" customHeight="1" x14ac:dyDescent="0.25">
      <c r="A62" s="329">
        <v>22</v>
      </c>
      <c r="B62" s="413" t="s">
        <v>795</v>
      </c>
      <c r="C62" s="417">
        <f>17300+3600+3100</f>
        <v>24000</v>
      </c>
      <c r="D62" s="414" t="s">
        <v>796</v>
      </c>
    </row>
    <row r="63" spans="1:7" ht="15.75" customHeight="1" x14ac:dyDescent="0.25">
      <c r="A63" s="329">
        <v>23</v>
      </c>
      <c r="B63" s="330" t="s">
        <v>760</v>
      </c>
      <c r="C63" s="416">
        <v>5000</v>
      </c>
      <c r="D63" s="340" t="s">
        <v>758</v>
      </c>
    </row>
    <row r="64" spans="1:7" ht="15.75" customHeight="1" x14ac:dyDescent="0.25">
      <c r="A64" s="329">
        <v>24</v>
      </c>
      <c r="B64" s="330" t="s">
        <v>761</v>
      </c>
      <c r="C64" s="416">
        <v>5000</v>
      </c>
      <c r="D64" s="340" t="s">
        <v>758</v>
      </c>
    </row>
    <row r="65" spans="1:4" ht="15.75" customHeight="1" x14ac:dyDescent="0.25">
      <c r="A65" s="329">
        <v>25</v>
      </c>
      <c r="B65" s="330" t="s">
        <v>762</v>
      </c>
      <c r="C65" s="335">
        <v>2845</v>
      </c>
      <c r="D65" s="340" t="s">
        <v>758</v>
      </c>
    </row>
    <row r="66" spans="1:4" ht="15.75" customHeight="1" x14ac:dyDescent="0.25">
      <c r="A66" s="329" t="s">
        <v>813</v>
      </c>
      <c r="B66" s="330" t="s">
        <v>814</v>
      </c>
      <c r="C66" s="335">
        <v>16463</v>
      </c>
      <c r="D66" s="340" t="s">
        <v>768</v>
      </c>
    </row>
    <row r="67" spans="1:4" ht="15.75" customHeight="1" x14ac:dyDescent="0.25">
      <c r="A67" s="329" t="s">
        <v>807</v>
      </c>
      <c r="B67" s="330" t="s">
        <v>769</v>
      </c>
      <c r="C67" s="335">
        <v>45000</v>
      </c>
      <c r="D67" s="340" t="s">
        <v>768</v>
      </c>
    </row>
    <row r="68" spans="1:4" ht="15.75" customHeight="1" x14ac:dyDescent="0.25">
      <c r="A68" s="329"/>
      <c r="B68" s="363"/>
      <c r="C68" s="364"/>
      <c r="D68" s="365"/>
    </row>
    <row r="69" spans="1:4" ht="15.75" customHeight="1" x14ac:dyDescent="0.25">
      <c r="A69" s="329"/>
      <c r="B69" s="363"/>
      <c r="C69" s="364"/>
      <c r="D69" s="365"/>
    </row>
    <row r="70" spans="1:4" ht="15.75" customHeight="1" x14ac:dyDescent="0.25">
      <c r="A70" s="329"/>
      <c r="B70" s="363"/>
      <c r="C70" s="364"/>
      <c r="D70" s="365"/>
    </row>
    <row r="71" spans="1:4" ht="15.75" customHeight="1" x14ac:dyDescent="0.25">
      <c r="A71" s="329"/>
      <c r="B71" s="363"/>
      <c r="C71" s="364"/>
      <c r="D71" s="365"/>
    </row>
    <row r="72" spans="1:4" ht="15.75" customHeight="1" x14ac:dyDescent="0.25">
      <c r="A72" s="329"/>
      <c r="B72" s="363"/>
      <c r="C72" s="364"/>
      <c r="D72" s="365"/>
    </row>
    <row r="73" spans="1:4" ht="15.75" customHeight="1" x14ac:dyDescent="0.25">
      <c r="A73" s="329"/>
      <c r="B73" s="363"/>
      <c r="C73" s="364"/>
      <c r="D73" s="365"/>
    </row>
    <row r="74" spans="1:4" ht="15.75" customHeight="1" x14ac:dyDescent="0.25">
      <c r="A74" s="329"/>
      <c r="B74" s="363"/>
      <c r="C74" s="364"/>
      <c r="D74" s="365"/>
    </row>
    <row r="75" spans="1:4" ht="15.75" customHeight="1" thickBot="1" x14ac:dyDescent="0.3">
      <c r="A75" s="329"/>
      <c r="B75" s="366" t="s">
        <v>703</v>
      </c>
      <c r="C75" s="388">
        <f>SUM(C44:C65)</f>
        <v>2427693.0700000003</v>
      </c>
      <c r="D75" s="367"/>
    </row>
    <row r="76" spans="1:4" ht="15.75" customHeight="1" x14ac:dyDescent="0.25">
      <c r="A76" s="329"/>
      <c r="C76" s="368"/>
    </row>
    <row r="77" spans="1:4" ht="15.75" customHeight="1" thickBot="1" x14ac:dyDescent="0.3">
      <c r="C77" s="368"/>
    </row>
    <row r="78" spans="1:4" ht="15.75" customHeight="1" thickTop="1" thickBot="1" x14ac:dyDescent="0.3">
      <c r="B78" s="369" t="s">
        <v>704</v>
      </c>
      <c r="C78" s="370"/>
    </row>
    <row r="79" spans="1:4" ht="15.75" customHeight="1" thickTop="1" x14ac:dyDescent="0.25">
      <c r="B79" s="371" t="s">
        <v>705</v>
      </c>
      <c r="C79" s="372">
        <f>C41</f>
        <v>8270358.8317999998</v>
      </c>
    </row>
    <row r="80" spans="1:4" ht="15.75" customHeight="1" x14ac:dyDescent="0.25">
      <c r="B80" s="373" t="s">
        <v>706</v>
      </c>
      <c r="C80" s="374">
        <f>C75</f>
        <v>2427693.0700000003</v>
      </c>
    </row>
    <row r="81" spans="1:6" ht="15.75" customHeight="1" x14ac:dyDescent="0.25">
      <c r="B81" s="375" t="s">
        <v>707</v>
      </c>
      <c r="C81" s="376">
        <f>C79-C80</f>
        <v>5842665.7617999995</v>
      </c>
      <c r="E81" s="353"/>
    </row>
    <row r="82" spans="1:6" ht="15.75" customHeight="1" x14ac:dyDescent="0.25">
      <c r="B82" s="373" t="s">
        <v>708</v>
      </c>
      <c r="C82" s="377">
        <v>6341125</v>
      </c>
      <c r="D82" s="353"/>
      <c r="E82" s="353"/>
      <c r="F82" s="380"/>
    </row>
    <row r="83" spans="1:6" ht="15.75" customHeight="1" x14ac:dyDescent="0.25">
      <c r="B83" s="378" t="s">
        <v>709</v>
      </c>
      <c r="C83" s="379">
        <f>C82-C81</f>
        <v>498459.23820000049</v>
      </c>
      <c r="D83" s="353"/>
      <c r="E83" s="353"/>
      <c r="F83" s="382"/>
    </row>
    <row r="84" spans="1:6" ht="15.75" customHeight="1" x14ac:dyDescent="0.25">
      <c r="B84" s="381"/>
      <c r="D84" s="353"/>
      <c r="E84" s="353"/>
      <c r="F84" s="380"/>
    </row>
    <row r="85" spans="1:6" ht="15.75" customHeight="1" x14ac:dyDescent="0.25">
      <c r="B85" s="318"/>
      <c r="D85" s="353"/>
      <c r="E85" s="383"/>
      <c r="F85" s="333"/>
    </row>
    <row r="86" spans="1:6" ht="15.75" customHeight="1" x14ac:dyDescent="0.25">
      <c r="B86" s="318"/>
      <c r="D86" s="383"/>
      <c r="E86"/>
      <c r="F86" s="339"/>
    </row>
    <row r="87" spans="1:6" ht="15.75" customHeight="1" x14ac:dyDescent="0.25">
      <c r="A87"/>
      <c r="B87"/>
      <c r="C87"/>
      <c r="D87"/>
      <c r="E87"/>
    </row>
    <row r="88" spans="1:6" ht="15.75" customHeight="1" x14ac:dyDescent="0.25">
      <c r="A88"/>
      <c r="B88"/>
      <c r="C88"/>
      <c r="D88"/>
      <c r="E88"/>
    </row>
    <row r="89" spans="1:6" ht="15.75" customHeight="1" x14ac:dyDescent="0.25">
      <c r="A89"/>
      <c r="B89"/>
      <c r="C89"/>
      <c r="D89"/>
      <c r="E89"/>
    </row>
    <row r="90" spans="1:6" ht="15.75" customHeight="1" x14ac:dyDescent="0.25">
      <c r="A90"/>
      <c r="B90"/>
      <c r="C90"/>
      <c r="D90"/>
      <c r="E90"/>
    </row>
    <row r="91" spans="1:6" ht="15.75" customHeight="1" x14ac:dyDescent="0.25">
      <c r="A91"/>
      <c r="B91"/>
      <c r="C91"/>
      <c r="D91"/>
      <c r="E91"/>
    </row>
    <row r="92" spans="1:6" ht="15.75" customHeight="1" x14ac:dyDescent="0.25">
      <c r="A92"/>
      <c r="B92"/>
      <c r="C92"/>
      <c r="D92"/>
      <c r="E92"/>
    </row>
    <row r="93" spans="1:6" ht="15.75" customHeight="1" x14ac:dyDescent="0.25">
      <c r="A93"/>
      <c r="B93"/>
      <c r="C93"/>
      <c r="D93"/>
      <c r="E93"/>
    </row>
    <row r="94" spans="1:6" ht="15.75" customHeight="1" x14ac:dyDescent="0.25">
      <c r="A94"/>
      <c r="B94"/>
      <c r="C94"/>
      <c r="D94"/>
      <c r="E94"/>
    </row>
    <row r="95" spans="1:6" ht="15.75" customHeight="1" x14ac:dyDescent="0.25">
      <c r="A95"/>
      <c r="B95"/>
      <c r="C95"/>
      <c r="D95"/>
      <c r="E95"/>
    </row>
    <row r="96" spans="1:6" ht="15.75" customHeight="1" x14ac:dyDescent="0.25">
      <c r="A96"/>
      <c r="B96"/>
      <c r="C96"/>
      <c r="D96"/>
      <c r="E96"/>
    </row>
    <row r="97" spans="1:5" ht="15.75" customHeight="1" x14ac:dyDescent="0.25">
      <c r="A97"/>
      <c r="B97"/>
      <c r="C97"/>
      <c r="D97"/>
      <c r="E97"/>
    </row>
    <row r="98" spans="1:5" ht="15.75" customHeight="1" x14ac:dyDescent="0.25">
      <c r="A98"/>
      <c r="B98"/>
      <c r="C98"/>
      <c r="D98"/>
      <c r="E98"/>
    </row>
    <row r="99" spans="1:5" ht="15.75" customHeight="1" x14ac:dyDescent="0.25">
      <c r="A99"/>
      <c r="B99"/>
      <c r="C99"/>
      <c r="D99"/>
      <c r="E99"/>
    </row>
    <row r="100" spans="1:5" ht="15.75" customHeight="1" x14ac:dyDescent="0.25">
      <c r="A100"/>
      <c r="B100"/>
      <c r="C100"/>
      <c r="D100"/>
      <c r="E100"/>
    </row>
    <row r="101" spans="1:5" ht="15.75" customHeight="1" x14ac:dyDescent="0.25">
      <c r="A101"/>
      <c r="B101"/>
      <c r="C101"/>
      <c r="D101"/>
      <c r="E101"/>
    </row>
    <row r="102" spans="1:5" ht="15.75" customHeight="1" x14ac:dyDescent="0.25">
      <c r="A102"/>
      <c r="B102"/>
      <c r="C102"/>
      <c r="D102"/>
      <c r="E102"/>
    </row>
    <row r="103" spans="1:5" ht="15.75" customHeight="1" x14ac:dyDescent="0.25">
      <c r="A103"/>
      <c r="B103"/>
      <c r="C103"/>
      <c r="D103"/>
    </row>
    <row r="104" spans="1:5" ht="15.75" customHeight="1" x14ac:dyDescent="0.25">
      <c r="B104" s="318"/>
    </row>
    <row r="105" spans="1:5" ht="15.75" customHeight="1" x14ac:dyDescent="0.25">
      <c r="B105" s="318"/>
    </row>
    <row r="106" spans="1:5" ht="15.75" customHeight="1" x14ac:dyDescent="0.25">
      <c r="B106" s="318"/>
    </row>
    <row r="107" spans="1:5" ht="15.75" customHeight="1" x14ac:dyDescent="0.25">
      <c r="B107" s="318"/>
    </row>
    <row r="108" spans="1:5" ht="15.75" customHeight="1" x14ac:dyDescent="0.25">
      <c r="B108" s="318"/>
    </row>
    <row r="109" spans="1:5" ht="15.75" customHeight="1" x14ac:dyDescent="0.25">
      <c r="B109" s="318"/>
    </row>
    <row r="110" spans="1:5" ht="15.75" customHeight="1" x14ac:dyDescent="0.25">
      <c r="B110" s="318"/>
    </row>
    <row r="111" spans="1:5" ht="15.75" customHeight="1" x14ac:dyDescent="0.25">
      <c r="B111" s="318"/>
    </row>
    <row r="112" spans="1:5" ht="15.75" customHeight="1" x14ac:dyDescent="0.25">
      <c r="B112" s="318"/>
    </row>
    <row r="113" spans="2:2" ht="15.75" customHeight="1" x14ac:dyDescent="0.25">
      <c r="B113" s="318"/>
    </row>
    <row r="114" spans="2:2" ht="15.75" customHeight="1" x14ac:dyDescent="0.25">
      <c r="B114" s="318"/>
    </row>
    <row r="115" spans="2:2" ht="15.75" customHeight="1" x14ac:dyDescent="0.25">
      <c r="B115" s="318"/>
    </row>
    <row r="116" spans="2:2" ht="15.75" customHeight="1" x14ac:dyDescent="0.25">
      <c r="B116" s="318"/>
    </row>
    <row r="117" spans="2:2" ht="15.75" customHeight="1" x14ac:dyDescent="0.25">
      <c r="B117" s="318"/>
    </row>
    <row r="118" spans="2:2" ht="15.75" customHeight="1" x14ac:dyDescent="0.25">
      <c r="B118" s="318"/>
    </row>
    <row r="119" spans="2:2" ht="15.75" customHeight="1" x14ac:dyDescent="0.25">
      <c r="B119" s="318"/>
    </row>
    <row r="120" spans="2:2" ht="15.75" customHeight="1" x14ac:dyDescent="0.25">
      <c r="B120" s="318"/>
    </row>
    <row r="121" spans="2:2" ht="15.75" customHeight="1" x14ac:dyDescent="0.25">
      <c r="B121" s="318"/>
    </row>
    <row r="122" spans="2:2" ht="15.75" customHeight="1" x14ac:dyDescent="0.25">
      <c r="B122" s="318"/>
    </row>
    <row r="123" spans="2:2" ht="15.75" customHeight="1" x14ac:dyDescent="0.25">
      <c r="B123" s="318"/>
    </row>
    <row r="124" spans="2:2" ht="15.75" customHeight="1" x14ac:dyDescent="0.25">
      <c r="B124" s="318"/>
    </row>
    <row r="125" spans="2:2" ht="15.75" customHeight="1" x14ac:dyDescent="0.25">
      <c r="B125" s="318"/>
    </row>
    <row r="126" spans="2:2" ht="15.75" customHeight="1" x14ac:dyDescent="0.25">
      <c r="B126" s="318"/>
    </row>
    <row r="127" spans="2:2" ht="15.75" customHeight="1" x14ac:dyDescent="0.25">
      <c r="B127" s="318"/>
    </row>
    <row r="128" spans="2:2" ht="15.75" customHeight="1" x14ac:dyDescent="0.25">
      <c r="B128" s="318"/>
    </row>
    <row r="129" spans="2:2" ht="15.75" customHeight="1" x14ac:dyDescent="0.25">
      <c r="B129" s="318"/>
    </row>
    <row r="130" spans="2:2" ht="15.75" customHeight="1" x14ac:dyDescent="0.25">
      <c r="B130" s="318"/>
    </row>
    <row r="131" spans="2:2" ht="15.75" customHeight="1" x14ac:dyDescent="0.25">
      <c r="B131" s="318"/>
    </row>
    <row r="132" spans="2:2" ht="15.75" customHeight="1" x14ac:dyDescent="0.25">
      <c r="B132" s="318"/>
    </row>
    <row r="133" spans="2:2" ht="15.75" customHeight="1" x14ac:dyDescent="0.25">
      <c r="B133" s="318"/>
    </row>
    <row r="134" spans="2:2" ht="15.75" customHeight="1" x14ac:dyDescent="0.25">
      <c r="B134" s="318"/>
    </row>
    <row r="135" spans="2:2" ht="15.75" customHeight="1" x14ac:dyDescent="0.25">
      <c r="B135" s="318"/>
    </row>
    <row r="136" spans="2:2" ht="15.75" customHeight="1" x14ac:dyDescent="0.25">
      <c r="B136" s="318"/>
    </row>
    <row r="137" spans="2:2" ht="15.75" customHeight="1" x14ac:dyDescent="0.25">
      <c r="B137" s="318"/>
    </row>
    <row r="138" spans="2:2" ht="15.75" customHeight="1" x14ac:dyDescent="0.25">
      <c r="B138" s="318"/>
    </row>
    <row r="139" spans="2:2" ht="15.75" customHeight="1" x14ac:dyDescent="0.25">
      <c r="B139" s="318"/>
    </row>
    <row r="140" spans="2:2" ht="15.75" customHeight="1" x14ac:dyDescent="0.25">
      <c r="B140" s="318"/>
    </row>
    <row r="141" spans="2:2" ht="15.75" customHeight="1" x14ac:dyDescent="0.25">
      <c r="B141" s="318"/>
    </row>
    <row r="142" spans="2:2" ht="15.75" customHeight="1" x14ac:dyDescent="0.25">
      <c r="B142" s="318"/>
    </row>
    <row r="143" spans="2:2" ht="15.75" customHeight="1" x14ac:dyDescent="0.25">
      <c r="B143" s="318"/>
    </row>
    <row r="144" spans="2:2" ht="15.75" customHeight="1" x14ac:dyDescent="0.25">
      <c r="B144" s="318"/>
    </row>
    <row r="145" spans="2:2" ht="15.75" customHeight="1" x14ac:dyDescent="0.25">
      <c r="B145" s="318"/>
    </row>
    <row r="146" spans="2:2" ht="15.75" customHeight="1" x14ac:dyDescent="0.25">
      <c r="B146" s="318"/>
    </row>
    <row r="147" spans="2:2" ht="15.75" customHeight="1" x14ac:dyDescent="0.25">
      <c r="B147" s="318"/>
    </row>
    <row r="148" spans="2:2" ht="15.75" customHeight="1" x14ac:dyDescent="0.25">
      <c r="B148" s="318"/>
    </row>
    <row r="149" spans="2:2" ht="15.75" customHeight="1" x14ac:dyDescent="0.25">
      <c r="B149" s="318"/>
    </row>
    <row r="150" spans="2:2" ht="15.75" customHeight="1" x14ac:dyDescent="0.25">
      <c r="B150" s="318"/>
    </row>
    <row r="151" spans="2:2" ht="15.75" customHeight="1" x14ac:dyDescent="0.25">
      <c r="B151" s="318"/>
    </row>
    <row r="152" spans="2:2" ht="15.75" customHeight="1" x14ac:dyDescent="0.25">
      <c r="B152" s="318"/>
    </row>
    <row r="153" spans="2:2" ht="15.75" customHeight="1" x14ac:dyDescent="0.25">
      <c r="B153" s="318"/>
    </row>
    <row r="154" spans="2:2" ht="15.75" customHeight="1" x14ac:dyDescent="0.25">
      <c r="B154" s="318"/>
    </row>
    <row r="155" spans="2:2" ht="15.75" customHeight="1" x14ac:dyDescent="0.25">
      <c r="B155" s="318"/>
    </row>
    <row r="156" spans="2:2" ht="15.75" customHeight="1" x14ac:dyDescent="0.25">
      <c r="B156" s="318"/>
    </row>
    <row r="157" spans="2:2" ht="15.75" customHeight="1" x14ac:dyDescent="0.25">
      <c r="B157" s="318"/>
    </row>
    <row r="158" spans="2:2" ht="15.75" customHeight="1" x14ac:dyDescent="0.25">
      <c r="B158" s="318"/>
    </row>
    <row r="159" spans="2:2" ht="15.75" customHeight="1" x14ac:dyDescent="0.25">
      <c r="B159" s="318"/>
    </row>
    <row r="160" spans="2:2" ht="15.75" customHeight="1" x14ac:dyDescent="0.25">
      <c r="B160" s="318"/>
    </row>
    <row r="161" spans="2:2" ht="15.75" customHeight="1" x14ac:dyDescent="0.25">
      <c r="B161" s="318"/>
    </row>
    <row r="162" spans="2:2" ht="15.75" customHeight="1" x14ac:dyDescent="0.25">
      <c r="B162" s="318"/>
    </row>
    <row r="163" spans="2:2" ht="15.75" customHeight="1" x14ac:dyDescent="0.25">
      <c r="B163" s="318"/>
    </row>
    <row r="164" spans="2:2" ht="15.75" customHeight="1" x14ac:dyDescent="0.25">
      <c r="B164" s="318"/>
    </row>
    <row r="165" spans="2:2" ht="15.75" customHeight="1" x14ac:dyDescent="0.25">
      <c r="B165" s="318"/>
    </row>
    <row r="166" spans="2:2" ht="15.75" customHeight="1" x14ac:dyDescent="0.25">
      <c r="B166" s="318"/>
    </row>
    <row r="167" spans="2:2" ht="15.75" customHeight="1" x14ac:dyDescent="0.25">
      <c r="B167" s="318"/>
    </row>
    <row r="168" spans="2:2" ht="15.75" customHeight="1" x14ac:dyDescent="0.25">
      <c r="B168" s="318"/>
    </row>
    <row r="169" spans="2:2" ht="15.75" customHeight="1" x14ac:dyDescent="0.25">
      <c r="B169" s="318"/>
    </row>
    <row r="170" spans="2:2" ht="15.75" customHeight="1" x14ac:dyDescent="0.25">
      <c r="B170" s="318"/>
    </row>
    <row r="171" spans="2:2" ht="15.75" customHeight="1" x14ac:dyDescent="0.25">
      <c r="B171" s="318"/>
    </row>
    <row r="172" spans="2:2" ht="15.75" customHeight="1" x14ac:dyDescent="0.25">
      <c r="B172" s="318"/>
    </row>
    <row r="173" spans="2:2" ht="15.75" customHeight="1" x14ac:dyDescent="0.25">
      <c r="B173" s="318"/>
    </row>
    <row r="174" spans="2:2" ht="15.75" customHeight="1" x14ac:dyDescent="0.25">
      <c r="B174" s="318"/>
    </row>
    <row r="175" spans="2:2" ht="15.75" customHeight="1" x14ac:dyDescent="0.25">
      <c r="B175" s="318"/>
    </row>
    <row r="176" spans="2:2" ht="15.75" customHeight="1" x14ac:dyDescent="0.25">
      <c r="B176" s="318"/>
    </row>
    <row r="177" spans="2:2" ht="15.75" customHeight="1" x14ac:dyDescent="0.25">
      <c r="B177" s="318"/>
    </row>
    <row r="178" spans="2:2" ht="15.75" customHeight="1" x14ac:dyDescent="0.25">
      <c r="B178" s="318"/>
    </row>
    <row r="179" spans="2:2" ht="15.75" customHeight="1" x14ac:dyDescent="0.25">
      <c r="B179" s="318"/>
    </row>
    <row r="180" spans="2:2" ht="15.75" customHeight="1" x14ac:dyDescent="0.25">
      <c r="B180" s="318"/>
    </row>
    <row r="181" spans="2:2" ht="15.75" customHeight="1" x14ac:dyDescent="0.25">
      <c r="B181" s="318"/>
    </row>
    <row r="182" spans="2:2" ht="15.75" customHeight="1" x14ac:dyDescent="0.25">
      <c r="B182" s="318"/>
    </row>
    <row r="183" spans="2:2" ht="15.75" customHeight="1" x14ac:dyDescent="0.25">
      <c r="B183" s="318"/>
    </row>
    <row r="184" spans="2:2" ht="15.75" customHeight="1" x14ac:dyDescent="0.25">
      <c r="B184" s="318"/>
    </row>
    <row r="185" spans="2:2" ht="15.75" customHeight="1" x14ac:dyDescent="0.25">
      <c r="B185" s="318"/>
    </row>
    <row r="186" spans="2:2" ht="15.75" customHeight="1" x14ac:dyDescent="0.25">
      <c r="B186" s="318"/>
    </row>
    <row r="187" spans="2:2" ht="15.75" customHeight="1" x14ac:dyDescent="0.25">
      <c r="B187" s="318"/>
    </row>
    <row r="188" spans="2:2" ht="15.75" customHeight="1" x14ac:dyDescent="0.25">
      <c r="B188" s="318"/>
    </row>
    <row r="189" spans="2:2" ht="15.75" customHeight="1" x14ac:dyDescent="0.25">
      <c r="B189" s="318"/>
    </row>
    <row r="190" spans="2:2" ht="15.75" customHeight="1" x14ac:dyDescent="0.25">
      <c r="B190" s="318"/>
    </row>
    <row r="191" spans="2:2" ht="15.75" customHeight="1" x14ac:dyDescent="0.25">
      <c r="B191" s="318"/>
    </row>
    <row r="192" spans="2:2" ht="15.75" customHeight="1" x14ac:dyDescent="0.25">
      <c r="B192" s="318"/>
    </row>
    <row r="193" spans="2:2" ht="15.75" customHeight="1" x14ac:dyDescent="0.25">
      <c r="B193" s="318"/>
    </row>
    <row r="194" spans="2:2" ht="15.75" customHeight="1" x14ac:dyDescent="0.25">
      <c r="B194" s="318"/>
    </row>
    <row r="195" spans="2:2" ht="15.75" customHeight="1" x14ac:dyDescent="0.25">
      <c r="B195" s="318"/>
    </row>
    <row r="196" spans="2:2" ht="15.75" customHeight="1" x14ac:dyDescent="0.25">
      <c r="B196" s="318"/>
    </row>
    <row r="197" spans="2:2" ht="15.75" customHeight="1" x14ac:dyDescent="0.25">
      <c r="B197" s="318"/>
    </row>
    <row r="198" spans="2:2" ht="15.75" customHeight="1" x14ac:dyDescent="0.25">
      <c r="B198" s="318"/>
    </row>
    <row r="199" spans="2:2" ht="15.75" customHeight="1" x14ac:dyDescent="0.25">
      <c r="B199" s="318"/>
    </row>
    <row r="200" spans="2:2" ht="15.75" customHeight="1" x14ac:dyDescent="0.25">
      <c r="B200" s="318"/>
    </row>
    <row r="201" spans="2:2" ht="15.75" customHeight="1" x14ac:dyDescent="0.25">
      <c r="B201" s="318"/>
    </row>
    <row r="202" spans="2:2" ht="15.75" customHeight="1" x14ac:dyDescent="0.25">
      <c r="B202" s="318"/>
    </row>
    <row r="203" spans="2:2" ht="15.75" customHeight="1" x14ac:dyDescent="0.25">
      <c r="B203" s="318"/>
    </row>
    <row r="204" spans="2:2" ht="15.75" customHeight="1" x14ac:dyDescent="0.25">
      <c r="B204" s="318"/>
    </row>
    <row r="205" spans="2:2" ht="15.75" customHeight="1" x14ac:dyDescent="0.25">
      <c r="B205" s="318"/>
    </row>
    <row r="206" spans="2:2" ht="15.75" customHeight="1" x14ac:dyDescent="0.25">
      <c r="B206" s="318"/>
    </row>
    <row r="207" spans="2:2" ht="15.75" customHeight="1" x14ac:dyDescent="0.25">
      <c r="B207" s="318"/>
    </row>
    <row r="208" spans="2:2" ht="15.75" customHeight="1" x14ac:dyDescent="0.25">
      <c r="B208" s="318"/>
    </row>
    <row r="209" spans="2:2" ht="15.75" customHeight="1" x14ac:dyDescent="0.25">
      <c r="B209" s="318"/>
    </row>
    <row r="210" spans="2:2" ht="15.75" customHeight="1" x14ac:dyDescent="0.25">
      <c r="B210" s="318"/>
    </row>
    <row r="211" spans="2:2" ht="15.75" customHeight="1" x14ac:dyDescent="0.25">
      <c r="B211" s="318"/>
    </row>
    <row r="212" spans="2:2" ht="15.75" customHeight="1" x14ac:dyDescent="0.25">
      <c r="B212" s="318"/>
    </row>
    <row r="213" spans="2:2" ht="15.75" customHeight="1" x14ac:dyDescent="0.25">
      <c r="B213" s="318"/>
    </row>
    <row r="214" spans="2:2" ht="15.75" customHeight="1" x14ac:dyDescent="0.25">
      <c r="B214" s="318"/>
    </row>
    <row r="215" spans="2:2" ht="15.75" customHeight="1" x14ac:dyDescent="0.25">
      <c r="B215" s="318"/>
    </row>
    <row r="216" spans="2:2" x14ac:dyDescent="0.25">
      <c r="B216" s="318"/>
    </row>
  </sheetData>
  <pageMargins left="0.7" right="0.7" top="0.75" bottom="0.75" header="0.3" footer="0.3"/>
  <pageSetup paperSize="17" scale="88" fitToWidth="0" orientation="portrait" r:id="rId1"/>
  <ignoredErrors>
    <ignoredError sqref="C27" unlockedFormula="1"/>
    <ignoredError sqref="G52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5AD2-22C3-4752-AD33-5841C53D584C}">
  <dimension ref="A1:B42"/>
  <sheetViews>
    <sheetView workbookViewId="0">
      <selection activeCell="B13" sqref="B13"/>
    </sheetView>
  </sheetViews>
  <sheetFormatPr defaultColWidth="9.140625" defaultRowHeight="15" x14ac:dyDescent="0.25"/>
  <cols>
    <col min="1" max="1" width="32.28515625" style="1" customWidth="1"/>
    <col min="2" max="2" width="16.28515625" style="56" bestFit="1" customWidth="1"/>
    <col min="3" max="16384" width="9.140625" style="1"/>
  </cols>
  <sheetData>
    <row r="1" spans="1:2" x14ac:dyDescent="0.25">
      <c r="A1" s="4" t="s">
        <v>537</v>
      </c>
      <c r="B1" s="250">
        <f>'ARTICLE 2'!F2+'ARTICLE 2'!F3+'ARTICLE 2'!F4+'ARTICLE 2'!F5+'ARTICLE 2'!F6+'ARTICLE 2'!F7+'ARTICLE 2'!F8+'ARTICLE 2'!F9+'ARTICLE 2'!F10+'ARTICLE 2'!F11+'ARTICLE 2'!F12+'ARTICLE 2'!F13+'ARTICLE 2'!F14+'ARTICLE 2'!F15+'ARTICLE 2'!F16+'ARTICLE 2'!F17+'ARTICLE 2'!F18+'ARTICLE 2'!F19+'ARTICLE 2'!F20+'ARTICLE 2'!F21+'ARTICLE 2'!F22+'ARTICLE 2'!F23+'ARTICLE 2'!F24+'ARTICLE 2'!F26+'ARTICLE 2'!F33+'ARTICLE 2'!F34+'ARTICLE 2'!F41+'ARTICLE 2'!F42+'ARTICLE 2'!F43+'ARTICLE 2'!F44+'ARTICLE 2'!F45+'ARTICLE 2'!F46+'ARTICLE 2'!F47+'ARTICLE 2'!F48+'ARTICLE 2'!F49+'ARTICLE 2'!F50+'ARTICLE 2'!F51+'ARTICLE 2'!F52+'ARTICLE 2'!F53+'ARTICLE 2'!F54</f>
        <v>1553444.5449999999</v>
      </c>
    </row>
    <row r="2" spans="1:2" x14ac:dyDescent="0.25">
      <c r="A2" s="4" t="s">
        <v>538</v>
      </c>
      <c r="B2" s="250">
        <f>'ARTICLE 2'!F27+'ARTICLE 2'!F28+'ARTICLE 2'!F29+'ARTICLE 2'!F30+'ARTICLE 2'!F31+'ARTICLE 2'!F32</f>
        <v>251669.69</v>
      </c>
    </row>
    <row r="3" spans="1:2" x14ac:dyDescent="0.25">
      <c r="A3" s="4" t="s">
        <v>505</v>
      </c>
      <c r="B3" s="250">
        <f>'ARTICLE 2'!F35+'ARTICLE 2'!F36+'ARTICLE 2'!F37+'ARTICLE 2'!F38+'ARTICLE 2'!F25</f>
        <v>867642.06850000005</v>
      </c>
    </row>
    <row r="4" spans="1:2" x14ac:dyDescent="0.25">
      <c r="A4" s="4" t="s">
        <v>680</v>
      </c>
      <c r="B4" s="250">
        <f>'ARTICLE 2'!F39+'ARTICLE 2'!F40</f>
        <v>193948.33000000002</v>
      </c>
    </row>
    <row r="5" spans="1:2" x14ac:dyDescent="0.25">
      <c r="A5" s="4" t="s">
        <v>539</v>
      </c>
      <c r="B5" s="250">
        <f>'ARTICLE 2'!F59</f>
        <v>2135585</v>
      </c>
    </row>
    <row r="6" spans="1:2" x14ac:dyDescent="0.25">
      <c r="A6" s="4" t="s">
        <v>540</v>
      </c>
      <c r="B6" s="250">
        <f>'ARTICLE 2'!F64</f>
        <v>1604965</v>
      </c>
    </row>
    <row r="7" spans="1:2" x14ac:dyDescent="0.25">
      <c r="A7" s="4" t="s">
        <v>541</v>
      </c>
      <c r="B7" s="250">
        <f>'ARTICLE 2'!F69</f>
        <v>171272</v>
      </c>
    </row>
    <row r="8" spans="1:2" x14ac:dyDescent="0.25">
      <c r="A8" s="4" t="s">
        <v>542</v>
      </c>
      <c r="B8" s="250">
        <f>'ARTICLE 2'!F73</f>
        <v>52905.600000000006</v>
      </c>
    </row>
    <row r="36" spans="1:2" x14ac:dyDescent="0.25">
      <c r="A36" s="1" t="s">
        <v>537</v>
      </c>
      <c r="B36" s="271">
        <f>'ARTICLE 2'!E2+'ARTICLE 2'!E3+'ARTICLE 2'!E4+'ARTICLE 2'!E5+'ARTICLE 2'!E6+'ARTICLE 2'!E7+'ARTICLE 2'!E8+'ARTICLE 2'!E9+'ARTICLE 2'!E10+'ARTICLE 2'!E11+'ARTICLE 2'!E12+'ARTICLE 2'!E13+'ARTICLE 2'!E14+'ARTICLE 2'!E15+'ARTICLE 2'!E16+'ARTICLE 2'!E17+'ARTICLE 2'!E18+'ARTICLE 2'!E26+'ARTICLE 2'!E50+'ARTICLE 2'!E51+'ARTICLE 2'!E52+'ARTICLE 2'!E54+'ARTICLE 2'!E24+'ARTICLE 2'!E39+'ARTICLE 2'!E40+'ARTICLE 2'!E41+'ARTICLE 2'!E46+'ARTICLE 2'!E48+'ARTICLE 2'!E47+'ARTICLE 2'!E49+'ARTICLE 2'!E19+'ARTICLE 2'!E20+'ARTICLE 2'!E21+'ARTICLE 2'!E22+'ARTICLE 2'!E23+'ARTICLE 2'!E53</f>
        <v>1575215.0605000001</v>
      </c>
    </row>
    <row r="37" spans="1:2" x14ac:dyDescent="0.25">
      <c r="A37" s="1" t="s">
        <v>538</v>
      </c>
      <c r="B37" s="271">
        <f>'ARTICLE 2'!E27+'ARTICLE 2'!E28+'ARTICLE 2'!E29+'ARTICLE 2'!E30+'ARTICLE 2'!E31+'ARTICLE 2'!E32+'ARTICLE 2'!E33+'ARTICLE 2'!E34</f>
        <v>256043.99</v>
      </c>
    </row>
    <row r="38" spans="1:2" x14ac:dyDescent="0.25">
      <c r="A38" s="1" t="s">
        <v>505</v>
      </c>
      <c r="B38" s="271">
        <f>'ARTICLE 2'!E35+'ARTICLE 2'!E36+'ARTICLE 2'!E37+'ARTICLE 2'!E38+'ARTICLE 2'!E25</f>
        <v>771642.06850000005</v>
      </c>
    </row>
    <row r="39" spans="1:2" x14ac:dyDescent="0.25">
      <c r="A39" s="1" t="s">
        <v>539</v>
      </c>
      <c r="B39" s="271">
        <v>2086307</v>
      </c>
    </row>
    <row r="40" spans="1:2" x14ac:dyDescent="0.25">
      <c r="A40" s="1" t="s">
        <v>540</v>
      </c>
      <c r="B40" s="271">
        <v>1571659</v>
      </c>
    </row>
    <row r="41" spans="1:2" x14ac:dyDescent="0.25">
      <c r="A41" s="1" t="s">
        <v>541</v>
      </c>
      <c r="B41" s="271">
        <v>183261</v>
      </c>
    </row>
    <row r="42" spans="1:2" x14ac:dyDescent="0.25">
      <c r="A42" s="1" t="s">
        <v>542</v>
      </c>
      <c r="B42" s="271">
        <v>76344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6311-2999-45FB-B457-091321FD1961}">
  <sheetPr>
    <tabColor theme="9" tint="0.39997558519241921"/>
    <pageSetUpPr fitToPage="1"/>
  </sheetPr>
  <dimension ref="A1:Q70"/>
  <sheetViews>
    <sheetView zoomScale="130" zoomScaleNormal="130" workbookViewId="0">
      <selection activeCell="B27" sqref="B27"/>
    </sheetView>
  </sheetViews>
  <sheetFormatPr defaultColWidth="9.140625" defaultRowHeight="15" x14ac:dyDescent="0.25"/>
  <cols>
    <col min="1" max="1" width="26.7109375" style="1" customWidth="1"/>
    <col min="2" max="2" width="29" style="1" customWidth="1"/>
    <col min="3" max="6" width="10.140625" style="1" customWidth="1"/>
    <col min="7" max="7" width="11.85546875" style="1" customWidth="1"/>
    <col min="8" max="10" width="10.140625" style="1" customWidth="1"/>
    <col min="11" max="11" width="11" style="1" customWidth="1"/>
    <col min="12" max="12" width="10.85546875" style="56" customWidth="1"/>
    <col min="13" max="13" width="10.85546875" style="1" customWidth="1"/>
    <col min="14" max="16384" width="9.140625" style="1"/>
  </cols>
  <sheetData>
    <row r="1" spans="1:17" x14ac:dyDescent="0.25">
      <c r="A1" s="438" t="s">
        <v>0</v>
      </c>
      <c r="B1" s="438"/>
      <c r="C1" s="438"/>
      <c r="D1" s="438"/>
      <c r="E1" s="438"/>
      <c r="F1" s="438"/>
      <c r="G1" s="438"/>
      <c r="H1" s="46"/>
      <c r="I1" s="46"/>
      <c r="J1" s="46"/>
      <c r="K1" s="46"/>
      <c r="L1" s="55"/>
    </row>
    <row r="2" spans="1:17" x14ac:dyDescent="0.25">
      <c r="A2" s="438" t="s">
        <v>568</v>
      </c>
      <c r="B2" s="438"/>
      <c r="C2" s="438"/>
      <c r="D2" s="438"/>
      <c r="E2" s="438"/>
      <c r="F2" s="438"/>
      <c r="G2" s="438"/>
      <c r="H2" s="46"/>
      <c r="I2" s="46"/>
      <c r="J2" s="46"/>
      <c r="K2" s="46"/>
      <c r="L2" s="55"/>
    </row>
    <row r="4" spans="1:17" s="12" customFormat="1" ht="15" customHeight="1" x14ac:dyDescent="0.2">
      <c r="A4" s="2" t="s">
        <v>34</v>
      </c>
      <c r="B4" s="2"/>
      <c r="C4" s="170" t="s">
        <v>37</v>
      </c>
      <c r="D4" s="170"/>
      <c r="E4" s="447" t="s">
        <v>4</v>
      </c>
      <c r="F4" s="447"/>
      <c r="G4" s="447" t="s">
        <v>5</v>
      </c>
      <c r="H4" s="447"/>
      <c r="I4" s="170" t="s">
        <v>570</v>
      </c>
    </row>
    <row r="5" spans="1:17" ht="15" customHeight="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594</v>
      </c>
      <c r="I5" s="81" t="s">
        <v>8</v>
      </c>
      <c r="J5" s="1" t="s">
        <v>738</v>
      </c>
      <c r="L5" s="1"/>
    </row>
    <row r="6" spans="1:17" x14ac:dyDescent="0.25">
      <c r="A6" s="4" t="s">
        <v>513</v>
      </c>
      <c r="B6" s="4" t="s">
        <v>274</v>
      </c>
      <c r="C6" s="86">
        <v>4800</v>
      </c>
      <c r="D6" s="75"/>
      <c r="E6" s="86">
        <v>4920</v>
      </c>
      <c r="F6" s="75">
        <v>3105.27</v>
      </c>
      <c r="G6" s="86">
        <v>4800</v>
      </c>
      <c r="H6" s="75">
        <v>2400</v>
      </c>
      <c r="I6" s="86">
        <v>5100</v>
      </c>
      <c r="J6" s="1" t="s">
        <v>739</v>
      </c>
      <c r="L6" s="1"/>
      <c r="O6" s="1">
        <v>1140</v>
      </c>
      <c r="P6" s="1" t="s">
        <v>740</v>
      </c>
    </row>
    <row r="7" spans="1:17" x14ac:dyDescent="0.25">
      <c r="A7" s="4" t="s">
        <v>38</v>
      </c>
      <c r="B7" s="4" t="s">
        <v>400</v>
      </c>
      <c r="C7" s="82">
        <v>44314</v>
      </c>
      <c r="D7" s="83"/>
      <c r="E7" s="82">
        <v>56591</v>
      </c>
      <c r="F7" s="75">
        <f>17081.45+25739.45</f>
        <v>42820.9</v>
      </c>
      <c r="G7" s="82">
        <v>38692.053</v>
      </c>
      <c r="H7" s="75">
        <v>17937.650000000001</v>
      </c>
      <c r="I7" s="82">
        <v>38953</v>
      </c>
      <c r="J7" s="1" t="s">
        <v>741</v>
      </c>
      <c r="L7" s="1"/>
      <c r="O7" s="1">
        <f>1140/8</f>
        <v>142.5</v>
      </c>
      <c r="P7" s="1" t="s">
        <v>742</v>
      </c>
    </row>
    <row r="8" spans="1:17" x14ac:dyDescent="0.25">
      <c r="A8" s="4" t="s">
        <v>38</v>
      </c>
      <c r="B8" s="4" t="s">
        <v>40</v>
      </c>
      <c r="C8" s="82"/>
      <c r="D8" s="83"/>
      <c r="E8" s="82"/>
      <c r="F8" s="75"/>
      <c r="G8" s="82">
        <v>14040</v>
      </c>
      <c r="H8" s="75">
        <v>3768</v>
      </c>
      <c r="I8" s="82">
        <v>7500.48</v>
      </c>
      <c r="J8" s="1" t="s">
        <v>801</v>
      </c>
      <c r="L8" s="1"/>
      <c r="O8" s="1">
        <v>15</v>
      </c>
      <c r="P8" s="1" t="s">
        <v>743</v>
      </c>
    </row>
    <row r="9" spans="1:17" x14ac:dyDescent="0.25">
      <c r="A9" s="4" t="s">
        <v>38</v>
      </c>
      <c r="B9" s="4" t="s">
        <v>401</v>
      </c>
      <c r="C9" s="82"/>
      <c r="D9" s="83"/>
      <c r="E9" s="82"/>
      <c r="F9" s="75"/>
      <c r="G9" s="82">
        <v>2469.94</v>
      </c>
      <c r="H9" s="75">
        <v>0</v>
      </c>
      <c r="I9" s="82">
        <v>1800</v>
      </c>
      <c r="J9" s="384" t="s">
        <v>744</v>
      </c>
      <c r="L9" s="1"/>
      <c r="O9" s="1">
        <v>300</v>
      </c>
      <c r="P9" s="1" t="s">
        <v>745</v>
      </c>
    </row>
    <row r="10" spans="1:17" x14ac:dyDescent="0.25">
      <c r="A10" s="4" t="s">
        <v>38</v>
      </c>
      <c r="B10" s="4" t="s">
        <v>635</v>
      </c>
      <c r="C10" s="82"/>
      <c r="D10" s="83"/>
      <c r="E10" s="82"/>
      <c r="F10" s="75"/>
      <c r="G10" s="82"/>
      <c r="H10" s="75"/>
      <c r="I10" s="86">
        <v>0</v>
      </c>
      <c r="L10" s="154"/>
    </row>
    <row r="11" spans="1:17" s="12" customFormat="1" x14ac:dyDescent="0.25">
      <c r="A11" s="11" t="s">
        <v>75</v>
      </c>
      <c r="B11" s="11"/>
      <c r="C11" s="90">
        <f t="shared" ref="C11:H11" si="0">SUM(C6:C9)</f>
        <v>49114</v>
      </c>
      <c r="D11" s="74"/>
      <c r="E11" s="90">
        <f t="shared" si="0"/>
        <v>61511</v>
      </c>
      <c r="F11" s="74">
        <f t="shared" si="0"/>
        <v>45926.17</v>
      </c>
      <c r="G11" s="90">
        <f t="shared" si="0"/>
        <v>60001.993000000002</v>
      </c>
      <c r="H11" s="74">
        <f t="shared" si="0"/>
        <v>24105.65</v>
      </c>
      <c r="I11" s="90">
        <f>SUM(I6:I10)</f>
        <v>53353.479999999996</v>
      </c>
      <c r="J11" s="1"/>
      <c r="K11" s="1"/>
      <c r="L11" s="1"/>
      <c r="M11" s="1"/>
      <c r="N11" s="1"/>
      <c r="O11" s="1"/>
      <c r="P11" s="1"/>
      <c r="Q11" s="1"/>
    </row>
    <row r="12" spans="1:17" s="12" customFormat="1" x14ac:dyDescent="0.25">
      <c r="A12" s="4" t="s">
        <v>402</v>
      </c>
      <c r="B12" s="11" t="s">
        <v>403</v>
      </c>
      <c r="C12" s="90"/>
      <c r="D12" s="74"/>
      <c r="E12" s="90"/>
      <c r="F12" s="74"/>
      <c r="G12" s="86">
        <v>75</v>
      </c>
      <c r="H12" s="75">
        <v>0</v>
      </c>
      <c r="I12" s="86">
        <v>347.15000000000003</v>
      </c>
      <c r="J12" s="1" t="s">
        <v>746</v>
      </c>
      <c r="K12" s="1"/>
      <c r="L12" s="1"/>
      <c r="M12" s="1"/>
      <c r="N12" s="1"/>
      <c r="O12" s="1"/>
      <c r="P12" s="1"/>
      <c r="Q12" s="1"/>
    </row>
    <row r="13" spans="1:17" x14ac:dyDescent="0.25">
      <c r="A13" s="4" t="s">
        <v>42</v>
      </c>
      <c r="B13" s="4" t="s">
        <v>43</v>
      </c>
      <c r="C13" s="82">
        <v>1800</v>
      </c>
      <c r="D13" s="83"/>
      <c r="E13" s="82">
        <f>425*4</f>
        <v>1700</v>
      </c>
      <c r="F13" s="75">
        <v>2100</v>
      </c>
      <c r="G13" s="82">
        <v>2000</v>
      </c>
      <c r="H13" s="75">
        <v>1415</v>
      </c>
      <c r="I13" s="82">
        <v>2500</v>
      </c>
      <c r="J13" s="1" t="s">
        <v>747</v>
      </c>
      <c r="L13" s="1"/>
    </row>
    <row r="14" spans="1:17" x14ac:dyDescent="0.25">
      <c r="A14" s="4" t="s">
        <v>86</v>
      </c>
      <c r="B14" s="4" t="s">
        <v>57</v>
      </c>
      <c r="C14" s="86">
        <v>0</v>
      </c>
      <c r="D14" s="75"/>
      <c r="E14" s="86">
        <v>2400</v>
      </c>
      <c r="F14" s="75">
        <v>2900</v>
      </c>
      <c r="G14" s="86">
        <v>2700</v>
      </c>
      <c r="H14" s="75">
        <v>0</v>
      </c>
      <c r="I14" s="86">
        <v>4440</v>
      </c>
      <c r="J14" s="1" t="s">
        <v>748</v>
      </c>
      <c r="L14" s="1"/>
    </row>
    <row r="15" spans="1:17" x14ac:dyDescent="0.25">
      <c r="A15" s="4" t="s">
        <v>44</v>
      </c>
      <c r="B15" s="4" t="s">
        <v>45</v>
      </c>
      <c r="C15" s="86">
        <v>25</v>
      </c>
      <c r="D15" s="75"/>
      <c r="E15" s="86">
        <v>25</v>
      </c>
      <c r="F15" s="75">
        <v>0</v>
      </c>
      <c r="G15" s="86">
        <v>25</v>
      </c>
      <c r="H15" s="75">
        <v>0</v>
      </c>
      <c r="I15" s="86">
        <v>15</v>
      </c>
      <c r="J15" s="1" t="s">
        <v>749</v>
      </c>
      <c r="L15" s="1"/>
    </row>
    <row r="16" spans="1:17" x14ac:dyDescent="0.25">
      <c r="A16" s="4" t="s">
        <v>46</v>
      </c>
      <c r="B16" s="4" t="s">
        <v>22</v>
      </c>
      <c r="C16" s="86">
        <v>1250</v>
      </c>
      <c r="D16" s="75"/>
      <c r="E16" s="86">
        <v>1100</v>
      </c>
      <c r="F16" s="75">
        <v>0</v>
      </c>
      <c r="G16" s="86">
        <v>1100</v>
      </c>
      <c r="H16" s="75">
        <v>0</v>
      </c>
      <c r="I16" s="86">
        <v>524</v>
      </c>
      <c r="J16" s="30" t="s">
        <v>750</v>
      </c>
      <c r="L16" s="1"/>
    </row>
    <row r="17" spans="1:16" x14ac:dyDescent="0.25">
      <c r="A17" s="4" t="s">
        <v>47</v>
      </c>
      <c r="B17" s="4" t="s">
        <v>48</v>
      </c>
      <c r="C17" s="86">
        <v>300</v>
      </c>
      <c r="D17" s="75"/>
      <c r="E17" s="86">
        <v>250</v>
      </c>
      <c r="F17" s="75">
        <v>227.5</v>
      </c>
      <c r="G17" s="86">
        <v>250</v>
      </c>
      <c r="H17" s="75">
        <v>225</v>
      </c>
      <c r="I17" s="86">
        <v>350</v>
      </c>
      <c r="J17" s="1" t="s">
        <v>751</v>
      </c>
      <c r="L17" s="1"/>
    </row>
    <row r="18" spans="1:16" x14ac:dyDescent="0.25">
      <c r="A18" s="4" t="s">
        <v>49</v>
      </c>
      <c r="B18" s="4" t="s">
        <v>50</v>
      </c>
      <c r="C18" s="86">
        <v>400</v>
      </c>
      <c r="D18" s="75"/>
      <c r="E18" s="86">
        <v>250</v>
      </c>
      <c r="F18" s="75">
        <v>0</v>
      </c>
      <c r="G18" s="86">
        <v>400</v>
      </c>
      <c r="H18" s="75">
        <v>0</v>
      </c>
      <c r="I18" s="86">
        <v>400</v>
      </c>
      <c r="J18" s="1" t="s">
        <v>752</v>
      </c>
      <c r="L18" s="385"/>
    </row>
    <row r="19" spans="1:16" x14ac:dyDescent="0.25">
      <c r="A19" s="4" t="s">
        <v>51</v>
      </c>
      <c r="B19" s="4" t="s">
        <v>52</v>
      </c>
      <c r="C19" s="86">
        <v>1425</v>
      </c>
      <c r="D19" s="75"/>
      <c r="E19" s="86">
        <v>1425</v>
      </c>
      <c r="F19" s="75">
        <v>909.05</v>
      </c>
      <c r="G19" s="86">
        <v>1000</v>
      </c>
      <c r="H19" s="75">
        <v>286</v>
      </c>
      <c r="I19" s="86">
        <v>1316</v>
      </c>
      <c r="J19" s="1" t="s">
        <v>753</v>
      </c>
      <c r="L19" s="1"/>
    </row>
    <row r="20" spans="1:16" x14ac:dyDescent="0.25">
      <c r="A20" s="4" t="s">
        <v>53</v>
      </c>
      <c r="B20" s="4" t="s">
        <v>54</v>
      </c>
      <c r="C20" s="86">
        <v>1345</v>
      </c>
      <c r="D20" s="75"/>
      <c r="E20" s="86">
        <v>750</v>
      </c>
      <c r="F20" s="75">
        <v>535</v>
      </c>
      <c r="G20" s="86">
        <v>750</v>
      </c>
      <c r="H20" s="75">
        <v>535</v>
      </c>
      <c r="I20" s="86">
        <v>750</v>
      </c>
      <c r="J20" s="386" t="s">
        <v>754</v>
      </c>
      <c r="L20" s="1"/>
    </row>
    <row r="21" spans="1:16" x14ac:dyDescent="0.25">
      <c r="A21" s="4" t="s">
        <v>55</v>
      </c>
      <c r="B21" s="4" t="s">
        <v>56</v>
      </c>
      <c r="C21" s="86">
        <v>4145</v>
      </c>
      <c r="D21" s="75"/>
      <c r="E21" s="86">
        <f>3775+333</f>
        <v>4108</v>
      </c>
      <c r="F21" s="75">
        <v>3755</v>
      </c>
      <c r="G21" s="86">
        <v>3775</v>
      </c>
      <c r="H21" s="75">
        <v>3824</v>
      </c>
      <c r="I21" s="86">
        <v>5061</v>
      </c>
      <c r="J21" s="1" t="s">
        <v>755</v>
      </c>
      <c r="L21" s="1"/>
    </row>
    <row r="22" spans="1:16" s="12" customFormat="1" ht="14.25" x14ac:dyDescent="0.2">
      <c r="A22" s="11" t="s">
        <v>82</v>
      </c>
      <c r="B22" s="11"/>
      <c r="C22" s="88">
        <f>SUM(C13:C21)</f>
        <v>10690</v>
      </c>
      <c r="D22" s="89"/>
      <c r="E22" s="88">
        <f>SUM(E13:E21)</f>
        <v>12008</v>
      </c>
      <c r="F22" s="89">
        <f>SUM(F13:F21)</f>
        <v>10426.549999999999</v>
      </c>
      <c r="G22" s="88">
        <f>SUM(G12:G21)</f>
        <v>12075</v>
      </c>
      <c r="H22" s="89">
        <f>SUM(H13:H21)</f>
        <v>6285</v>
      </c>
      <c r="I22" s="88">
        <f>SUM(I12:I21)</f>
        <v>15703.15</v>
      </c>
    </row>
    <row r="23" spans="1:16" x14ac:dyDescent="0.25">
      <c r="A23" s="11" t="s">
        <v>9</v>
      </c>
      <c r="B23" s="11" t="s">
        <v>9</v>
      </c>
      <c r="C23" s="88">
        <f>C11+C22</f>
        <v>59804</v>
      </c>
      <c r="D23" s="89"/>
      <c r="E23" s="88">
        <f>E11+E22</f>
        <v>73519</v>
      </c>
      <c r="F23" s="89">
        <f>F11+F22</f>
        <v>56352.72</v>
      </c>
      <c r="G23" s="88">
        <f>G11+G22</f>
        <v>72076.993000000002</v>
      </c>
      <c r="H23" s="89">
        <f>H11+H22</f>
        <v>30390.65</v>
      </c>
      <c r="I23" s="88">
        <f>I11+I22</f>
        <v>69056.62999999999</v>
      </c>
      <c r="L23" s="1"/>
    </row>
    <row r="24" spans="1:16" x14ac:dyDescent="0.25">
      <c r="A24" s="160" t="s">
        <v>404</v>
      </c>
      <c r="L24" s="1"/>
    </row>
    <row r="25" spans="1:16" x14ac:dyDescent="0.25">
      <c r="A25" s="59" t="s">
        <v>634</v>
      </c>
      <c r="L25" s="1"/>
    </row>
    <row r="26" spans="1:16" x14ac:dyDescent="0.25">
      <c r="A26" s="59" t="s">
        <v>577</v>
      </c>
      <c r="B26" s="154">
        <v>3787</v>
      </c>
      <c r="C26" s="154">
        <v>3767</v>
      </c>
      <c r="D26" s="182">
        <v>20</v>
      </c>
    </row>
    <row r="27" spans="1:16" x14ac:dyDescent="0.25">
      <c r="A27" s="59" t="s">
        <v>578</v>
      </c>
      <c r="B27" s="154">
        <v>5053</v>
      </c>
      <c r="C27" s="211">
        <v>0</v>
      </c>
      <c r="D27" s="212">
        <v>5053</v>
      </c>
      <c r="F27" s="46"/>
      <c r="G27" s="46"/>
      <c r="H27" s="36"/>
      <c r="I27" s="36"/>
      <c r="K27" s="36"/>
    </row>
    <row r="28" spans="1:16" x14ac:dyDescent="0.25">
      <c r="H28" s="33"/>
      <c r="I28" s="33"/>
      <c r="J28" s="33"/>
      <c r="K28" s="33"/>
      <c r="L28" s="57"/>
      <c r="N28" s="34"/>
      <c r="O28" s="34"/>
      <c r="P28" s="34"/>
    </row>
    <row r="29" spans="1:16" x14ac:dyDescent="0.25">
      <c r="H29" s="38"/>
      <c r="I29" s="38"/>
      <c r="J29" s="37"/>
      <c r="K29" s="38"/>
      <c r="L29" s="58"/>
      <c r="N29" s="34"/>
      <c r="O29" s="34"/>
      <c r="P29" s="34"/>
    </row>
    <row r="30" spans="1:16" x14ac:dyDescent="0.25">
      <c r="J30" s="37"/>
      <c r="N30" s="35"/>
      <c r="O30" s="34"/>
      <c r="P30" s="34"/>
    </row>
    <row r="31" spans="1:16" x14ac:dyDescent="0.25">
      <c r="N31" s="34"/>
      <c r="O31" s="34"/>
      <c r="P31" s="34"/>
    </row>
    <row r="32" spans="1:16" x14ac:dyDescent="0.25">
      <c r="B32" s="39"/>
      <c r="N32" s="34"/>
      <c r="O32" s="34"/>
      <c r="P32" s="34"/>
    </row>
    <row r="33" spans="9:16" x14ac:dyDescent="0.25">
      <c r="N33" s="34"/>
      <c r="O33" s="34"/>
      <c r="P33" s="34"/>
    </row>
    <row r="34" spans="9:16" x14ac:dyDescent="0.25">
      <c r="N34" s="34"/>
      <c r="O34" s="34"/>
      <c r="P34" s="34"/>
    </row>
    <row r="35" spans="9:16" ht="15.75" x14ac:dyDescent="0.25">
      <c r="I35" s="171"/>
      <c r="K35" s="171"/>
      <c r="N35" s="34"/>
      <c r="O35" s="34"/>
      <c r="P35" s="34"/>
    </row>
    <row r="36" spans="9:16" ht="15.75" x14ac:dyDescent="0.25">
      <c r="I36" s="171"/>
      <c r="K36" s="171"/>
      <c r="N36" s="35"/>
      <c r="O36" s="35"/>
      <c r="P36" s="35"/>
    </row>
    <row r="37" spans="9:16" ht="15.75" x14ac:dyDescent="0.25">
      <c r="I37" s="171"/>
      <c r="K37" s="171"/>
      <c r="N37" s="34"/>
      <c r="O37" s="34"/>
      <c r="P37" s="34"/>
    </row>
    <row r="38" spans="9:16" ht="15.75" x14ac:dyDescent="0.25">
      <c r="I38" s="171"/>
      <c r="K38" s="171"/>
      <c r="N38" s="34"/>
      <c r="O38" s="35"/>
      <c r="P38" s="35"/>
    </row>
    <row r="39" spans="9:16" ht="15.75" x14ac:dyDescent="0.25">
      <c r="I39" s="171"/>
      <c r="K39" s="171"/>
      <c r="N39" s="34"/>
      <c r="O39" s="40"/>
      <c r="P39" s="34"/>
    </row>
    <row r="40" spans="9:16" ht="15.75" x14ac:dyDescent="0.25">
      <c r="I40" s="171"/>
      <c r="J40" s="172"/>
      <c r="K40" s="171"/>
      <c r="N40" s="34"/>
      <c r="O40" s="40"/>
      <c r="P40" s="41"/>
    </row>
    <row r="41" spans="9:16" ht="15.75" x14ac:dyDescent="0.25">
      <c r="I41" s="171"/>
      <c r="K41" s="171"/>
      <c r="N41" s="34"/>
      <c r="O41" s="42"/>
      <c r="P41" s="43"/>
    </row>
    <row r="42" spans="9:16" ht="15.75" x14ac:dyDescent="0.25">
      <c r="I42" s="171"/>
      <c r="K42" s="171"/>
      <c r="N42" s="34"/>
      <c r="O42" s="40"/>
      <c r="P42" s="34"/>
    </row>
    <row r="43" spans="9:16" ht="15.75" x14ac:dyDescent="0.25">
      <c r="I43" s="171"/>
      <c r="K43" s="171"/>
      <c r="N43" s="34"/>
      <c r="O43" s="34"/>
      <c r="P43" s="34"/>
    </row>
    <row r="44" spans="9:16" ht="15.75" x14ac:dyDescent="0.25">
      <c r="I44" s="171"/>
      <c r="K44" s="171"/>
    </row>
    <row r="45" spans="9:16" ht="15.75" x14ac:dyDescent="0.25">
      <c r="I45" s="171"/>
      <c r="K45" s="171"/>
    </row>
    <row r="46" spans="9:16" ht="15.75" x14ac:dyDescent="0.25">
      <c r="I46" s="171"/>
      <c r="K46" s="171"/>
    </row>
    <row r="47" spans="9:16" ht="15.75" x14ac:dyDescent="0.25">
      <c r="I47" s="171"/>
      <c r="K47" s="171"/>
    </row>
    <row r="48" spans="9:16" ht="15.75" x14ac:dyDescent="0.25">
      <c r="I48" s="171"/>
      <c r="K48" s="171"/>
    </row>
    <row r="49" spans="9:11" ht="15.75" x14ac:dyDescent="0.25">
      <c r="I49" s="171"/>
      <c r="K49" s="171"/>
    </row>
    <row r="53" spans="9:11" x14ac:dyDescent="0.25">
      <c r="I53" s="172"/>
      <c r="K53" s="172"/>
    </row>
    <row r="54" spans="9:11" x14ac:dyDescent="0.25">
      <c r="I54" s="172"/>
      <c r="J54" s="172"/>
      <c r="K54" s="172"/>
    </row>
    <row r="55" spans="9:11" x14ac:dyDescent="0.25">
      <c r="I55" s="172"/>
      <c r="J55" s="172"/>
      <c r="K55" s="172"/>
    </row>
    <row r="56" spans="9:11" x14ac:dyDescent="0.25">
      <c r="I56" s="172"/>
      <c r="J56" s="172"/>
      <c r="K56" s="172"/>
    </row>
    <row r="57" spans="9:11" x14ac:dyDescent="0.25">
      <c r="I57" s="172"/>
      <c r="J57" s="172"/>
      <c r="K57" s="172"/>
    </row>
    <row r="58" spans="9:11" x14ac:dyDescent="0.25">
      <c r="I58" s="172"/>
      <c r="J58" s="172"/>
      <c r="K58" s="172"/>
    </row>
    <row r="59" spans="9:11" x14ac:dyDescent="0.25">
      <c r="I59" s="172"/>
      <c r="J59" s="172"/>
      <c r="K59" s="172"/>
    </row>
    <row r="60" spans="9:11" x14ac:dyDescent="0.25">
      <c r="I60" s="172"/>
      <c r="J60" s="172"/>
      <c r="K60" s="172"/>
    </row>
    <row r="61" spans="9:11" x14ac:dyDescent="0.25">
      <c r="I61" s="172"/>
      <c r="J61" s="172"/>
      <c r="K61" s="172"/>
    </row>
    <row r="62" spans="9:11" x14ac:dyDescent="0.25">
      <c r="I62" s="172"/>
      <c r="J62" s="172"/>
      <c r="K62" s="172"/>
    </row>
    <row r="63" spans="9:11" x14ac:dyDescent="0.25">
      <c r="J63" s="172"/>
    </row>
    <row r="64" spans="9:11" x14ac:dyDescent="0.25">
      <c r="J64" s="172"/>
    </row>
    <row r="67" spans="1:1" ht="15.75" x14ac:dyDescent="0.25">
      <c r="A67" s="173"/>
    </row>
    <row r="68" spans="1:1" ht="15.75" x14ac:dyDescent="0.25">
      <c r="A68" s="174"/>
    </row>
    <row r="69" spans="1:1" ht="15.75" x14ac:dyDescent="0.25">
      <c r="A69" s="174"/>
    </row>
    <row r="70" spans="1:1" ht="11.45" customHeight="1" x14ac:dyDescent="0.25">
      <c r="A70" s="174"/>
    </row>
  </sheetData>
  <mergeCells count="4">
    <mergeCell ref="E4:F4"/>
    <mergeCell ref="A1:G1"/>
    <mergeCell ref="A2:G2"/>
    <mergeCell ref="G4:H4"/>
  </mergeCells>
  <pageMargins left="0.25" right="0.25" top="0.75" bottom="0.75" header="0.3" footer="0.3"/>
  <pageSetup fitToHeight="0" orientation="landscape" r:id="rId1"/>
  <ignoredErrors>
    <ignoredError sqref="H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2EE35-F238-4D28-A47B-C55B156A734F}">
  <sheetPr>
    <tabColor theme="9" tint="0.39997558519241921"/>
  </sheetPr>
  <dimension ref="A5:Q10"/>
  <sheetViews>
    <sheetView workbookViewId="0">
      <selection activeCell="A10" sqref="A10"/>
    </sheetView>
  </sheetViews>
  <sheetFormatPr defaultColWidth="8.85546875" defaultRowHeight="15" x14ac:dyDescent="0.25"/>
  <cols>
    <col min="1" max="1" width="25.5703125" style="214" customWidth="1"/>
    <col min="2" max="2" width="28.42578125" style="214" customWidth="1"/>
    <col min="3" max="16384" width="8.85546875" style="214"/>
  </cols>
  <sheetData>
    <row r="5" spans="1:17" x14ac:dyDescent="0.25">
      <c r="C5" s="447" t="s">
        <v>4</v>
      </c>
      <c r="D5" s="447"/>
      <c r="E5" s="447" t="s">
        <v>5</v>
      </c>
      <c r="F5" s="447"/>
      <c r="G5" s="170" t="s">
        <v>570</v>
      </c>
      <c r="H5"/>
      <c r="I5"/>
      <c r="J5"/>
      <c r="K5"/>
      <c r="L5"/>
      <c r="M5"/>
      <c r="N5"/>
      <c r="O5"/>
      <c r="P5"/>
      <c r="Q5"/>
    </row>
    <row r="6" spans="1:17" x14ac:dyDescent="0.25">
      <c r="A6" s="213" t="s">
        <v>58</v>
      </c>
      <c r="B6" s="213" t="s">
        <v>59</v>
      </c>
      <c r="C6" s="81" t="s">
        <v>6</v>
      </c>
      <c r="D6" s="72" t="s">
        <v>7</v>
      </c>
      <c r="E6" s="81" t="s">
        <v>6</v>
      </c>
      <c r="F6" s="72" t="s">
        <v>7</v>
      </c>
      <c r="G6" s="81" t="s">
        <v>606</v>
      </c>
      <c r="H6"/>
      <c r="I6"/>
      <c r="J6"/>
      <c r="K6"/>
      <c r="L6"/>
      <c r="M6"/>
      <c r="N6"/>
      <c r="O6"/>
      <c r="P6"/>
      <c r="Q6"/>
    </row>
    <row r="7" spans="1:17" x14ac:dyDescent="0.25">
      <c r="C7" s="86">
        <v>5000</v>
      </c>
      <c r="D7" s="75"/>
      <c r="E7" s="86">
        <v>5000</v>
      </c>
      <c r="F7" s="75"/>
      <c r="G7" s="86">
        <v>5000</v>
      </c>
      <c r="H7"/>
      <c r="I7"/>
      <c r="J7"/>
      <c r="K7"/>
      <c r="L7"/>
      <c r="M7"/>
      <c r="N7"/>
      <c r="O7"/>
      <c r="P7"/>
      <c r="Q7"/>
    </row>
    <row r="9" spans="1:17" x14ac:dyDescent="0.25">
      <c r="A9" s="215" t="s">
        <v>767</v>
      </c>
      <c r="B9" s="216">
        <v>9978</v>
      </c>
    </row>
    <row r="10" spans="1:17" x14ac:dyDescent="0.25">
      <c r="A10" s="214" t="s">
        <v>802</v>
      </c>
    </row>
  </sheetData>
  <mergeCells count="2">
    <mergeCell ref="C5:D5"/>
    <mergeCell ref="E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26C4-34C4-480F-8C36-432943864869}">
  <sheetPr>
    <tabColor theme="9" tint="0.39997558519241921"/>
    <pageSetUpPr fitToPage="1"/>
  </sheetPr>
  <dimension ref="A1:L23"/>
  <sheetViews>
    <sheetView workbookViewId="0">
      <selection activeCell="F26" sqref="F26"/>
    </sheetView>
  </sheetViews>
  <sheetFormatPr defaultColWidth="9.140625" defaultRowHeight="15" x14ac:dyDescent="0.25"/>
  <cols>
    <col min="1" max="1" width="26.42578125" customWidth="1"/>
    <col min="2" max="2" width="26.5703125" customWidth="1"/>
    <col min="3" max="5" width="10.7109375" customWidth="1"/>
    <col min="6" max="6" width="10.85546875" customWidth="1"/>
    <col min="7" max="7" width="10.7109375" customWidth="1"/>
    <col min="8" max="8" width="11.42578125" customWidth="1"/>
  </cols>
  <sheetData>
    <row r="1" spans="1:11" x14ac:dyDescent="0.25">
      <c r="A1" s="438" t="s">
        <v>0</v>
      </c>
      <c r="B1" s="438"/>
      <c r="C1" s="438"/>
      <c r="D1" s="438"/>
      <c r="E1" s="438"/>
      <c r="F1" s="438"/>
      <c r="G1" s="438"/>
      <c r="H1" s="438"/>
      <c r="I1" s="1"/>
      <c r="J1" s="1"/>
      <c r="K1" s="1"/>
    </row>
    <row r="2" spans="1:11" x14ac:dyDescent="0.25">
      <c r="A2" s="438" t="s">
        <v>568</v>
      </c>
      <c r="B2" s="438"/>
      <c r="C2" s="438"/>
      <c r="D2" s="438"/>
      <c r="E2" s="438"/>
      <c r="F2" s="438"/>
      <c r="G2" s="438"/>
      <c r="H2" s="438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x14ac:dyDescent="0.25">
      <c r="A4" s="2" t="s">
        <v>65</v>
      </c>
      <c r="B4" s="11"/>
      <c r="C4" s="437" t="s">
        <v>3</v>
      </c>
      <c r="D4" s="437"/>
      <c r="E4" s="437" t="s">
        <v>4</v>
      </c>
      <c r="F4" s="437"/>
      <c r="G4" s="437" t="s">
        <v>64</v>
      </c>
      <c r="H4" s="437"/>
      <c r="I4" s="11" t="s">
        <v>569</v>
      </c>
    </row>
    <row r="5" spans="1:11" ht="15" customHeight="1" x14ac:dyDescent="0.25">
      <c r="A5" s="4"/>
      <c r="B5" s="4"/>
      <c r="C5" s="81" t="s">
        <v>6</v>
      </c>
      <c r="D5" s="72" t="s">
        <v>7</v>
      </c>
      <c r="E5" s="81" t="s">
        <v>6</v>
      </c>
      <c r="F5" s="72" t="s">
        <v>7</v>
      </c>
      <c r="G5" s="81" t="s">
        <v>6</v>
      </c>
      <c r="H5" s="72" t="s">
        <v>7</v>
      </c>
      <c r="I5" s="81" t="s">
        <v>6</v>
      </c>
    </row>
    <row r="6" spans="1:11" ht="15" customHeight="1" x14ac:dyDescent="0.25">
      <c r="A6" s="4" t="s">
        <v>408</v>
      </c>
      <c r="B6" s="4" t="s">
        <v>409</v>
      </c>
      <c r="C6" s="84">
        <v>60337</v>
      </c>
      <c r="D6" s="85">
        <v>61816.29</v>
      </c>
      <c r="E6" s="84">
        <v>63391</v>
      </c>
      <c r="F6" s="75">
        <f>7661.75+54602.07</f>
        <v>62263.82</v>
      </c>
      <c r="G6" s="86">
        <v>41297.85</v>
      </c>
      <c r="H6" s="75"/>
      <c r="I6" s="86">
        <v>41298</v>
      </c>
    </row>
    <row r="7" spans="1:11" ht="15" customHeight="1" x14ac:dyDescent="0.25">
      <c r="A7" s="4" t="s">
        <v>410</v>
      </c>
      <c r="B7" s="4" t="s">
        <v>411</v>
      </c>
      <c r="C7" s="84">
        <v>0</v>
      </c>
      <c r="D7" s="85">
        <v>0</v>
      </c>
      <c r="E7" s="84">
        <v>0</v>
      </c>
      <c r="F7" s="75"/>
      <c r="G7" s="86">
        <v>1440</v>
      </c>
      <c r="H7" s="75"/>
      <c r="I7" s="86">
        <v>1440</v>
      </c>
    </row>
    <row r="8" spans="1:11" ht="15" customHeight="1" x14ac:dyDescent="0.25">
      <c r="A8" s="4" t="s">
        <v>412</v>
      </c>
      <c r="B8" s="4" t="s">
        <v>413</v>
      </c>
      <c r="C8" s="84"/>
      <c r="D8" s="85"/>
      <c r="E8" s="84"/>
      <c r="F8" s="75"/>
      <c r="G8" s="86">
        <v>23793</v>
      </c>
      <c r="H8" s="75"/>
      <c r="I8" s="86">
        <v>23793</v>
      </c>
    </row>
    <row r="9" spans="1:11" s="3" customFormat="1" ht="15" customHeight="1" x14ac:dyDescent="0.25">
      <c r="A9" s="11" t="s">
        <v>66</v>
      </c>
      <c r="B9" s="11"/>
      <c r="C9" s="91">
        <f t="shared" ref="C9:F9" si="0">SUM(C6:C8)</f>
        <v>60337</v>
      </c>
      <c r="D9" s="92">
        <f t="shared" si="0"/>
        <v>61816.29</v>
      </c>
      <c r="E9" s="91">
        <f t="shared" si="0"/>
        <v>63391</v>
      </c>
      <c r="F9" s="92">
        <f t="shared" si="0"/>
        <v>62263.82</v>
      </c>
      <c r="G9" s="91">
        <v>66530.850000000006</v>
      </c>
      <c r="H9" s="92">
        <f t="shared" ref="H9" si="1">SUM(H6:H8)</f>
        <v>0</v>
      </c>
      <c r="I9" s="91">
        <f>SUM(I6:I8)</f>
        <v>66531</v>
      </c>
    </row>
    <row r="10" spans="1:11" ht="15" customHeight="1" x14ac:dyDescent="0.25">
      <c r="A10" s="4"/>
      <c r="B10" s="4"/>
      <c r="C10" s="84"/>
      <c r="D10" s="85"/>
      <c r="E10" s="84"/>
      <c r="F10" s="75"/>
      <c r="G10" s="86"/>
      <c r="H10" s="75"/>
      <c r="I10" s="86"/>
    </row>
    <row r="11" spans="1:11" ht="15" customHeight="1" x14ac:dyDescent="0.25">
      <c r="A11" s="4" t="s">
        <v>67</v>
      </c>
      <c r="B11" s="4" t="s">
        <v>20</v>
      </c>
      <c r="C11" s="84">
        <v>500</v>
      </c>
      <c r="D11" s="85">
        <v>139.61000000000001</v>
      </c>
      <c r="E11" s="84">
        <v>500</v>
      </c>
      <c r="F11" s="75">
        <v>64.739999999999995</v>
      </c>
      <c r="G11" s="86">
        <v>500</v>
      </c>
      <c r="H11" s="75"/>
      <c r="I11" s="86">
        <v>300</v>
      </c>
    </row>
    <row r="12" spans="1:11" ht="15" customHeight="1" x14ac:dyDescent="0.25">
      <c r="A12" s="4" t="s">
        <v>68</v>
      </c>
      <c r="B12" s="4" t="s">
        <v>22</v>
      </c>
      <c r="C12" s="84">
        <v>4557</v>
      </c>
      <c r="D12" s="85">
        <v>4818.45</v>
      </c>
      <c r="E12" s="84">
        <v>5208</v>
      </c>
      <c r="F12" s="75">
        <v>3582.55</v>
      </c>
      <c r="G12" s="86">
        <v>5920</v>
      </c>
      <c r="H12" s="75"/>
      <c r="I12" s="86">
        <v>5900</v>
      </c>
    </row>
    <row r="13" spans="1:11" ht="15" customHeight="1" x14ac:dyDescent="0.25">
      <c r="A13" s="4" t="s">
        <v>69</v>
      </c>
      <c r="B13" s="4" t="s">
        <v>187</v>
      </c>
      <c r="C13" s="84">
        <v>778</v>
      </c>
      <c r="D13" s="85">
        <f>312.98+40</f>
        <v>352.98</v>
      </c>
      <c r="E13" s="84">
        <v>578</v>
      </c>
      <c r="F13" s="75">
        <v>195</v>
      </c>
      <c r="G13" s="86">
        <v>578</v>
      </c>
      <c r="H13" s="75"/>
      <c r="I13" s="86">
        <v>578</v>
      </c>
    </row>
    <row r="14" spans="1:11" ht="15" customHeight="1" x14ac:dyDescent="0.25">
      <c r="A14" s="4" t="s">
        <v>70</v>
      </c>
      <c r="B14" s="4" t="s">
        <v>189</v>
      </c>
      <c r="C14" s="86"/>
      <c r="D14" s="75"/>
      <c r="E14" s="84">
        <v>200</v>
      </c>
      <c r="F14" s="75">
        <v>247.68</v>
      </c>
      <c r="G14" s="86">
        <v>200</v>
      </c>
      <c r="H14" s="75"/>
      <c r="I14" s="86">
        <v>200</v>
      </c>
    </row>
    <row r="15" spans="1:11" ht="15" customHeight="1" x14ac:dyDescent="0.25">
      <c r="A15" s="4" t="s">
        <v>71</v>
      </c>
      <c r="B15" s="4" t="s">
        <v>190</v>
      </c>
      <c r="C15" s="84">
        <v>1200</v>
      </c>
      <c r="D15" s="85">
        <v>1149.3900000000001</v>
      </c>
      <c r="E15" s="84">
        <v>1200</v>
      </c>
      <c r="F15" s="75">
        <v>2016.71</v>
      </c>
      <c r="G15" s="86">
        <v>900</v>
      </c>
      <c r="H15" s="75"/>
      <c r="I15" s="86">
        <v>900</v>
      </c>
    </row>
    <row r="16" spans="1:11" ht="15" customHeight="1" x14ac:dyDescent="0.25">
      <c r="A16" s="4" t="s">
        <v>72</v>
      </c>
      <c r="B16" s="4" t="s">
        <v>191</v>
      </c>
      <c r="C16" s="84">
        <v>10863</v>
      </c>
      <c r="D16" s="85">
        <v>8808.5</v>
      </c>
      <c r="E16" s="84">
        <v>10097</v>
      </c>
      <c r="F16" s="75">
        <v>8269.9</v>
      </c>
      <c r="G16" s="86">
        <v>12821</v>
      </c>
      <c r="H16" s="75"/>
      <c r="I16" s="86">
        <v>11917</v>
      </c>
    </row>
    <row r="17" spans="1:12" s="3" customFormat="1" ht="15" customHeight="1" x14ac:dyDescent="0.25">
      <c r="A17" s="11" t="s">
        <v>66</v>
      </c>
      <c r="B17" s="11"/>
      <c r="C17" s="91">
        <f t="shared" ref="C17:F17" si="2">SUM(C11:C16)</f>
        <v>17898</v>
      </c>
      <c r="D17" s="92">
        <f t="shared" si="2"/>
        <v>15268.93</v>
      </c>
      <c r="E17" s="91">
        <f t="shared" si="2"/>
        <v>17783</v>
      </c>
      <c r="F17" s="92">
        <f t="shared" si="2"/>
        <v>14376.58</v>
      </c>
      <c r="G17" s="91">
        <v>20919</v>
      </c>
      <c r="H17" s="92">
        <f t="shared" ref="H17" si="3">SUM(H11:H16)</f>
        <v>0</v>
      </c>
      <c r="I17" s="91">
        <f>SUM(I11:I16)</f>
        <v>19795</v>
      </c>
    </row>
    <row r="18" spans="1:12" ht="15" customHeight="1" x14ac:dyDescent="0.25">
      <c r="A18" s="4"/>
      <c r="B18" s="4"/>
      <c r="C18" s="86"/>
      <c r="D18" s="75"/>
      <c r="E18" s="86"/>
      <c r="F18" s="75"/>
      <c r="G18" s="86"/>
      <c r="H18" s="75"/>
      <c r="I18" s="86"/>
    </row>
    <row r="19" spans="1:12" s="3" customFormat="1" ht="15" customHeight="1" x14ac:dyDescent="0.25">
      <c r="A19" s="11" t="s">
        <v>9</v>
      </c>
      <c r="B19" s="11"/>
      <c r="C19" s="91">
        <f>C9+C17+C18</f>
        <v>78235</v>
      </c>
      <c r="D19" s="92">
        <f>D9+D17+D18</f>
        <v>77085.22</v>
      </c>
      <c r="E19" s="166">
        <f>E9+E17</f>
        <v>81174</v>
      </c>
      <c r="F19" s="92">
        <f>F9+F17</f>
        <v>76640.399999999994</v>
      </c>
      <c r="G19" s="91">
        <v>87449.85</v>
      </c>
      <c r="H19" s="92">
        <f>H9+H17</f>
        <v>0</v>
      </c>
      <c r="I19" s="91">
        <f>I9+I17</f>
        <v>86326</v>
      </c>
    </row>
    <row r="20" spans="1:12" ht="15" customHeight="1" x14ac:dyDescent="0.25">
      <c r="A20" s="49"/>
      <c r="I20" s="3"/>
      <c r="L20" s="153"/>
    </row>
    <row r="21" spans="1:12" ht="15" customHeight="1" x14ac:dyDescent="0.25">
      <c r="A21" s="50" t="s">
        <v>577</v>
      </c>
      <c r="B21" s="217">
        <v>0.02</v>
      </c>
    </row>
    <row r="23" spans="1:12" x14ac:dyDescent="0.25">
      <c r="F23" s="217"/>
    </row>
  </sheetData>
  <mergeCells count="5">
    <mergeCell ref="A1:H1"/>
    <mergeCell ref="A2:H2"/>
    <mergeCell ref="C4:D4"/>
    <mergeCell ref="E4:F4"/>
    <mergeCell ref="G4:H4"/>
  </mergeCells>
  <pageMargins left="0.7" right="0.7" top="0.75" bottom="0.75" header="0.3" footer="0.3"/>
  <pageSetup scale="9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A0B65-3F42-490C-817C-C71613443C12}">
  <sheetPr>
    <tabColor theme="9" tint="0.39997558519241921"/>
    <pageSetUpPr fitToPage="1"/>
  </sheetPr>
  <dimension ref="A1:AH49"/>
  <sheetViews>
    <sheetView zoomScaleNormal="100" workbookViewId="0">
      <selection activeCell="J12" sqref="J12"/>
    </sheetView>
  </sheetViews>
  <sheetFormatPr defaultColWidth="9.140625" defaultRowHeight="15" x14ac:dyDescent="0.25"/>
  <cols>
    <col min="1" max="1" width="25.85546875" style="1" customWidth="1"/>
    <col min="2" max="2" width="25.140625" style="1" customWidth="1"/>
    <col min="3" max="3" width="18" style="1" customWidth="1"/>
    <col min="4" max="11" width="12.42578125" style="1" customWidth="1"/>
    <col min="12" max="12" width="11.140625" style="1" customWidth="1"/>
    <col min="13" max="13" width="11.42578125" style="1" customWidth="1"/>
    <col min="14" max="14" width="12.140625" style="1" customWidth="1"/>
    <col min="15" max="16384" width="9.140625" style="1"/>
  </cols>
  <sheetData>
    <row r="1" spans="1:34" x14ac:dyDescent="0.25">
      <c r="B1" s="438" t="s">
        <v>0</v>
      </c>
      <c r="C1" s="438"/>
      <c r="D1" s="438"/>
      <c r="E1" s="438"/>
      <c r="F1" s="438"/>
      <c r="G1" s="438"/>
      <c r="H1" s="438"/>
      <c r="I1" s="438"/>
    </row>
    <row r="2" spans="1:34" x14ac:dyDescent="0.25">
      <c r="B2" s="438" t="s">
        <v>568</v>
      </c>
      <c r="C2" s="438"/>
      <c r="D2" s="438"/>
      <c r="E2" s="438"/>
      <c r="F2" s="438"/>
      <c r="G2" s="438"/>
      <c r="H2" s="438"/>
      <c r="I2" s="438"/>
    </row>
    <row r="4" spans="1:34" s="12" customFormat="1" ht="14.25" x14ac:dyDescent="0.2">
      <c r="A4" s="21" t="s">
        <v>73</v>
      </c>
      <c r="B4" s="11" t="s">
        <v>74</v>
      </c>
      <c r="C4" s="11"/>
      <c r="D4" s="437" t="s">
        <v>3</v>
      </c>
      <c r="E4" s="437"/>
      <c r="F4" s="437" t="s">
        <v>4</v>
      </c>
      <c r="G4" s="437"/>
      <c r="H4" s="437" t="s">
        <v>5</v>
      </c>
      <c r="I4" s="437"/>
      <c r="J4" s="10" t="s">
        <v>570</v>
      </c>
    </row>
    <row r="5" spans="1:34" x14ac:dyDescent="0.25">
      <c r="A5" s="4"/>
      <c r="B5" s="4"/>
      <c r="C5" s="4"/>
      <c r="D5" s="81" t="s">
        <v>6</v>
      </c>
      <c r="E5" s="72" t="s">
        <v>7</v>
      </c>
      <c r="F5" s="81" t="s">
        <v>6</v>
      </c>
      <c r="G5" s="72" t="s">
        <v>7</v>
      </c>
      <c r="H5" s="81" t="s">
        <v>6</v>
      </c>
      <c r="I5" s="72" t="s">
        <v>594</v>
      </c>
      <c r="J5" s="81" t="s">
        <v>606</v>
      </c>
      <c r="K5"/>
    </row>
    <row r="6" spans="1:34" x14ac:dyDescent="0.25">
      <c r="A6" s="4" t="s">
        <v>450</v>
      </c>
      <c r="B6" s="4" t="s">
        <v>449</v>
      </c>
      <c r="C6" s="4" t="s">
        <v>422</v>
      </c>
      <c r="D6" s="86">
        <v>74000</v>
      </c>
      <c r="E6" s="75">
        <v>78110.97</v>
      </c>
      <c r="F6" s="86">
        <v>75850</v>
      </c>
      <c r="G6" s="75">
        <f>67640+3837.6</f>
        <v>71477.600000000006</v>
      </c>
      <c r="H6" s="86">
        <v>66950</v>
      </c>
      <c r="I6" s="75">
        <v>31038.07</v>
      </c>
      <c r="J6" s="86">
        <v>66950</v>
      </c>
      <c r="K6"/>
    </row>
    <row r="7" spans="1:34" x14ac:dyDescent="0.25">
      <c r="A7" s="4" t="s">
        <v>559</v>
      </c>
      <c r="B7" s="4" t="s">
        <v>257</v>
      </c>
      <c r="C7" s="4" t="s">
        <v>423</v>
      </c>
      <c r="D7" s="86">
        <v>24787</v>
      </c>
      <c r="E7" s="75">
        <v>19552.84</v>
      </c>
      <c r="F7" s="86">
        <v>30530</v>
      </c>
      <c r="G7" s="75">
        <v>17588.77</v>
      </c>
      <c r="H7" s="86">
        <v>19760</v>
      </c>
      <c r="I7" s="75">
        <v>9747.0499999999993</v>
      </c>
      <c r="J7" s="86">
        <v>19760</v>
      </c>
      <c r="K7"/>
    </row>
    <row r="8" spans="1:34" x14ac:dyDescent="0.25">
      <c r="A8" s="4" t="s">
        <v>559</v>
      </c>
      <c r="B8" s="4" t="s">
        <v>424</v>
      </c>
      <c r="C8" s="4" t="s">
        <v>644</v>
      </c>
      <c r="D8" s="86"/>
      <c r="E8" s="75"/>
      <c r="F8" s="86"/>
      <c r="G8" s="75"/>
      <c r="H8" s="86">
        <v>5330</v>
      </c>
      <c r="I8" s="75"/>
      <c r="J8" s="86">
        <f>5330+(20*52)</f>
        <v>6370</v>
      </c>
    </row>
    <row r="9" spans="1:34" s="12" customFormat="1" ht="14.25" x14ac:dyDescent="0.2">
      <c r="A9" s="11" t="s">
        <v>75</v>
      </c>
      <c r="B9" s="11"/>
      <c r="C9" s="11"/>
      <c r="D9" s="121">
        <f t="shared" ref="D9:G9" si="0">SUM(D6:D8)</f>
        <v>98787</v>
      </c>
      <c r="E9" s="210">
        <f t="shared" si="0"/>
        <v>97663.81</v>
      </c>
      <c r="F9" s="121">
        <f t="shared" si="0"/>
        <v>106380</v>
      </c>
      <c r="G9" s="210">
        <f t="shared" si="0"/>
        <v>89066.37000000001</v>
      </c>
      <c r="H9" s="121">
        <v>92040</v>
      </c>
      <c r="I9" s="210">
        <f t="shared" ref="I9:J9" si="1">SUM(I6:I8)</f>
        <v>40785.119999999995</v>
      </c>
      <c r="J9" s="121">
        <f t="shared" si="1"/>
        <v>93080</v>
      </c>
    </row>
    <row r="10" spans="1:34" x14ac:dyDescent="0.25">
      <c r="A10" s="4" t="s">
        <v>19</v>
      </c>
      <c r="B10" s="4" t="s">
        <v>20</v>
      </c>
      <c r="C10" s="4"/>
      <c r="D10" s="86">
        <v>1700</v>
      </c>
      <c r="E10" s="75">
        <v>2259.06</v>
      </c>
      <c r="F10" s="86">
        <v>1600</v>
      </c>
      <c r="G10" s="75">
        <v>133.38</v>
      </c>
      <c r="H10" s="86">
        <v>500</v>
      </c>
      <c r="I10" s="75">
        <v>215</v>
      </c>
      <c r="J10" s="86">
        <v>250</v>
      </c>
    </row>
    <row r="11" spans="1:34" s="52" customFormat="1" x14ac:dyDescent="0.25">
      <c r="A11" s="4" t="s">
        <v>560</v>
      </c>
      <c r="B11" s="51" t="s">
        <v>425</v>
      </c>
      <c r="C11" s="51"/>
      <c r="D11" s="86">
        <v>0</v>
      </c>
      <c r="E11" s="75">
        <v>2649.53</v>
      </c>
      <c r="F11" s="86">
        <v>500</v>
      </c>
      <c r="G11" s="75">
        <v>1572.28</v>
      </c>
      <c r="H11" s="86">
        <v>1000</v>
      </c>
      <c r="I11" s="75">
        <v>300</v>
      </c>
      <c r="J11" s="86">
        <v>500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4" t="s">
        <v>21</v>
      </c>
      <c r="B12" s="4" t="s">
        <v>22</v>
      </c>
      <c r="C12" s="4"/>
      <c r="D12" s="86">
        <v>3750</v>
      </c>
      <c r="E12" s="75">
        <v>1199.05</v>
      </c>
      <c r="F12" s="86">
        <v>3000</v>
      </c>
      <c r="G12" s="75">
        <v>1156.3399999999999</v>
      </c>
      <c r="H12" s="86">
        <v>4000</v>
      </c>
      <c r="I12" s="75">
        <v>49.06</v>
      </c>
      <c r="J12" s="86">
        <v>3000</v>
      </c>
    </row>
    <row r="13" spans="1:34" x14ac:dyDescent="0.25">
      <c r="A13" s="4" t="s">
        <v>561</v>
      </c>
      <c r="B13" s="4" t="s">
        <v>76</v>
      </c>
      <c r="C13" s="4"/>
      <c r="D13" s="86">
        <v>2000</v>
      </c>
      <c r="E13" s="75">
        <v>656.46</v>
      </c>
      <c r="F13" s="86">
        <v>1500</v>
      </c>
      <c r="G13" s="75">
        <v>399.37</v>
      </c>
      <c r="H13" s="86">
        <v>1500</v>
      </c>
      <c r="I13" s="75">
        <v>130</v>
      </c>
      <c r="J13" s="86">
        <v>600</v>
      </c>
    </row>
    <row r="14" spans="1:34" x14ac:dyDescent="0.25">
      <c r="A14" s="4" t="s">
        <v>562</v>
      </c>
      <c r="B14" s="4" t="s">
        <v>77</v>
      </c>
      <c r="C14" s="4"/>
      <c r="D14" s="86">
        <v>0</v>
      </c>
      <c r="E14" s="75">
        <v>60</v>
      </c>
      <c r="F14" s="86">
        <v>500</v>
      </c>
      <c r="G14" s="75">
        <v>2115.38</v>
      </c>
      <c r="H14" s="86">
        <v>600</v>
      </c>
      <c r="I14" s="75">
        <v>90</v>
      </c>
      <c r="J14" s="86">
        <v>600</v>
      </c>
    </row>
    <row r="15" spans="1:34" x14ac:dyDescent="0.25">
      <c r="A15" s="4" t="s">
        <v>563</v>
      </c>
      <c r="B15" s="4" t="s">
        <v>78</v>
      </c>
      <c r="C15" s="4"/>
      <c r="D15" s="86">
        <v>800</v>
      </c>
      <c r="E15" s="75">
        <v>1716.6</v>
      </c>
      <c r="F15" s="86">
        <v>500</v>
      </c>
      <c r="G15" s="75">
        <v>2207</v>
      </c>
      <c r="H15" s="86">
        <v>500</v>
      </c>
      <c r="I15" s="75">
        <v>0</v>
      </c>
      <c r="J15" s="86">
        <v>500</v>
      </c>
    </row>
    <row r="16" spans="1:34" s="52" customFormat="1" x14ac:dyDescent="0.25">
      <c r="A16" s="4" t="s">
        <v>564</v>
      </c>
      <c r="B16" s="51" t="s">
        <v>79</v>
      </c>
      <c r="C16" s="51"/>
      <c r="D16" s="86">
        <v>300</v>
      </c>
      <c r="E16" s="75">
        <v>323.8</v>
      </c>
      <c r="F16" s="86">
        <v>300</v>
      </c>
      <c r="G16" s="75">
        <v>776.48</v>
      </c>
      <c r="H16" s="86">
        <v>1000</v>
      </c>
      <c r="I16" s="75">
        <v>0</v>
      </c>
      <c r="J16" s="86">
        <v>750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16" x14ac:dyDescent="0.25">
      <c r="A17" s="4" t="s">
        <v>565</v>
      </c>
      <c r="B17" s="4" t="s">
        <v>80</v>
      </c>
      <c r="C17" s="4"/>
      <c r="D17" s="86">
        <v>5250</v>
      </c>
      <c r="E17" s="75">
        <v>3067</v>
      </c>
      <c r="F17" s="86">
        <v>5300</v>
      </c>
      <c r="G17" s="75">
        <v>3239.31</v>
      </c>
      <c r="H17" s="86">
        <v>5500</v>
      </c>
      <c r="I17" s="75">
        <v>0</v>
      </c>
      <c r="J17" s="86">
        <v>6000</v>
      </c>
    </row>
    <row r="18" spans="1:16" x14ac:dyDescent="0.25">
      <c r="A18" s="4" t="s">
        <v>566</v>
      </c>
      <c r="B18" s="4" t="s">
        <v>426</v>
      </c>
      <c r="C18" s="4"/>
      <c r="D18" s="86"/>
      <c r="E18" s="75"/>
      <c r="F18" s="86">
        <v>2000</v>
      </c>
      <c r="G18" s="75">
        <v>0</v>
      </c>
      <c r="H18" s="86">
        <v>2000</v>
      </c>
      <c r="I18" s="75">
        <v>0</v>
      </c>
      <c r="J18" s="86">
        <v>2500</v>
      </c>
    </row>
    <row r="19" spans="1:16" x14ac:dyDescent="0.25">
      <c r="A19" s="4" t="s">
        <v>23</v>
      </c>
      <c r="B19" s="4" t="s">
        <v>52</v>
      </c>
      <c r="C19" s="4"/>
      <c r="D19" s="86">
        <v>950</v>
      </c>
      <c r="E19" s="75">
        <v>4555.57</v>
      </c>
      <c r="F19" s="86">
        <v>3500</v>
      </c>
      <c r="G19" s="75">
        <v>2851.49</v>
      </c>
      <c r="H19" s="86">
        <v>4000</v>
      </c>
      <c r="I19" s="75">
        <v>2466.2399999999998</v>
      </c>
      <c r="J19" s="86">
        <v>3500</v>
      </c>
    </row>
    <row r="20" spans="1:16" s="12" customFormat="1" ht="14.25" x14ac:dyDescent="0.2">
      <c r="A20" s="11" t="s">
        <v>82</v>
      </c>
      <c r="B20" s="11"/>
      <c r="C20" s="11"/>
      <c r="D20" s="122">
        <f t="shared" ref="D20:J20" si="2">SUM(D10:D19)</f>
        <v>14750</v>
      </c>
      <c r="E20" s="123">
        <f t="shared" si="2"/>
        <v>16487.07</v>
      </c>
      <c r="F20" s="122">
        <f t="shared" si="2"/>
        <v>18700</v>
      </c>
      <c r="G20" s="123">
        <f t="shared" si="2"/>
        <v>14451.029999999999</v>
      </c>
      <c r="H20" s="122">
        <f t="shared" si="2"/>
        <v>20600</v>
      </c>
      <c r="I20" s="123">
        <f t="shared" si="2"/>
        <v>3250.2999999999997</v>
      </c>
      <c r="J20" s="122">
        <f t="shared" si="2"/>
        <v>18200</v>
      </c>
    </row>
    <row r="21" spans="1:16" s="12" customFormat="1" ht="14.25" x14ac:dyDescent="0.2">
      <c r="A21" s="11" t="s">
        <v>9</v>
      </c>
      <c r="B21" s="11"/>
      <c r="C21" s="11"/>
      <c r="D21" s="88">
        <f t="shared" ref="D21:J21" si="3">D9+D20</f>
        <v>113537</v>
      </c>
      <c r="E21" s="89">
        <f t="shared" si="3"/>
        <v>114150.88</v>
      </c>
      <c r="F21" s="88">
        <f t="shared" si="3"/>
        <v>125080</v>
      </c>
      <c r="G21" s="89">
        <f t="shared" si="3"/>
        <v>103517.40000000001</v>
      </c>
      <c r="H21" s="88">
        <f t="shared" si="3"/>
        <v>112640</v>
      </c>
      <c r="I21" s="89">
        <f t="shared" si="3"/>
        <v>44035.42</v>
      </c>
      <c r="J21" s="88">
        <f t="shared" si="3"/>
        <v>111280</v>
      </c>
    </row>
    <row r="22" spans="1:16" s="12" customFormat="1" x14ac:dyDescent="0.25">
      <c r="A22" s="59" t="s">
        <v>627</v>
      </c>
      <c r="D22" s="53"/>
      <c r="E22" s="53"/>
      <c r="F22" s="53"/>
      <c r="G22" s="53"/>
      <c r="H22" s="53"/>
      <c r="I22" s="53"/>
      <c r="J22" s="53"/>
      <c r="K22" s="53"/>
      <c r="M22" s="33"/>
    </row>
    <row r="23" spans="1:16" customFormat="1" x14ac:dyDescent="0.25">
      <c r="A23" s="59" t="s">
        <v>577</v>
      </c>
      <c r="B23" s="217">
        <v>0.92</v>
      </c>
    </row>
    <row r="24" spans="1:16" x14ac:dyDescent="0.25">
      <c r="A24" s="59" t="s">
        <v>579</v>
      </c>
      <c r="B24" s="217">
        <v>8350</v>
      </c>
      <c r="C24"/>
      <c r="D24"/>
      <c r="E24"/>
      <c r="F24" s="217"/>
      <c r="G24"/>
      <c r="H24"/>
      <c r="I24"/>
      <c r="J24"/>
      <c r="K24"/>
      <c r="L24"/>
      <c r="M24"/>
      <c r="N24"/>
      <c r="O24"/>
      <c r="P24"/>
    </row>
    <row r="25" spans="1:1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47" spans="1:16" x14ac:dyDescent="0.25">
      <c r="I47" s="30"/>
    </row>
    <row r="49" spans="2:3" x14ac:dyDescent="0.25">
      <c r="B49" s="59"/>
      <c r="C49" s="59"/>
    </row>
  </sheetData>
  <mergeCells count="5">
    <mergeCell ref="B1:I1"/>
    <mergeCell ref="B2:I2"/>
    <mergeCell ref="D4:E4"/>
    <mergeCell ref="F4:G4"/>
    <mergeCell ref="H4:I4"/>
  </mergeCells>
  <pageMargins left="0.7" right="0.7" top="0.75" bottom="0.75" header="0.3" footer="0.3"/>
  <pageSetup scale="72" fitToHeight="0" orientation="landscape" r:id="rId1"/>
  <ignoredErrors>
    <ignoredError sqref="H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10</vt:i4>
      </vt:variant>
    </vt:vector>
  </HeadingPairs>
  <TitlesOfParts>
    <vt:vector size="67" baseType="lpstr">
      <vt:lpstr>114-Moderator</vt:lpstr>
      <vt:lpstr>122-Selectboard</vt:lpstr>
      <vt:lpstr>131-Finance</vt:lpstr>
      <vt:lpstr>132-Reserve Fund</vt:lpstr>
      <vt:lpstr>135-Auditor</vt:lpstr>
      <vt:lpstr>141-Assessors</vt:lpstr>
      <vt:lpstr>142-Revaluation</vt:lpstr>
      <vt:lpstr>145-Treasurer</vt:lpstr>
      <vt:lpstr>150-Town Admin</vt:lpstr>
      <vt:lpstr>151-Legal</vt:lpstr>
      <vt:lpstr>159-IT</vt:lpstr>
      <vt:lpstr>161-Town Clerk</vt:lpstr>
      <vt:lpstr>162-Registrars</vt:lpstr>
      <vt:lpstr>163-Elections</vt:lpstr>
      <vt:lpstr>170-Open Space</vt:lpstr>
      <vt:lpstr>171-ConComm</vt:lpstr>
      <vt:lpstr>172-Agricultural Commission</vt:lpstr>
      <vt:lpstr>175-Planning Board</vt:lpstr>
      <vt:lpstr>176-ZBA</vt:lpstr>
      <vt:lpstr>190-Personnel</vt:lpstr>
      <vt:lpstr>192-Public Buildings</vt:lpstr>
      <vt:lpstr>193-Property Insurance</vt:lpstr>
      <vt:lpstr>210-Police</vt:lpstr>
      <vt:lpstr>220-Fire</vt:lpstr>
      <vt:lpstr>231-Ambulance</vt:lpstr>
      <vt:lpstr>291-EMD</vt:lpstr>
      <vt:lpstr>292-ACO</vt:lpstr>
      <vt:lpstr>294-Tree Warden</vt:lpstr>
      <vt:lpstr>300-Grammar School</vt:lpstr>
      <vt:lpstr>310-Frontier</vt:lpstr>
      <vt:lpstr>320-Franklin Cty Tech</vt:lpstr>
      <vt:lpstr>330-Other Tech</vt:lpstr>
      <vt:lpstr>422-Highway</vt:lpstr>
      <vt:lpstr>423-Snow &amp; Ice</vt:lpstr>
      <vt:lpstr>433-Transfer Station</vt:lpstr>
      <vt:lpstr>491-Cemetery</vt:lpstr>
      <vt:lpstr>512-BOH</vt:lpstr>
      <vt:lpstr>525-Opioid</vt:lpstr>
      <vt:lpstr>541-COA</vt:lpstr>
      <vt:lpstr>543-Veterans</vt:lpstr>
      <vt:lpstr>610-Library</vt:lpstr>
      <vt:lpstr>630-Parks &amp; Rec</vt:lpstr>
      <vt:lpstr>635 Forest &amp; Trails</vt:lpstr>
      <vt:lpstr>650-Conway Currents</vt:lpstr>
      <vt:lpstr>691-Historical Commission</vt:lpstr>
      <vt:lpstr>710-Debt Service</vt:lpstr>
      <vt:lpstr>751-Debt Service Interest</vt:lpstr>
      <vt:lpstr>752-Short Term Interest</vt:lpstr>
      <vt:lpstr>820-State Assessments</vt:lpstr>
      <vt:lpstr>830-FRCOG Assessments</vt:lpstr>
      <vt:lpstr>900-Employee Benefits</vt:lpstr>
      <vt:lpstr>970-Transfer To</vt:lpstr>
      <vt:lpstr>ARTICLE 2</vt:lpstr>
      <vt:lpstr>ARTICLE 2 WITH 2% </vt:lpstr>
      <vt:lpstr>All Schools</vt:lpstr>
      <vt:lpstr>RECAP</vt:lpstr>
      <vt:lpstr>Chart of Expenses</vt:lpstr>
      <vt:lpstr>'141-Assessors'!Print_Area</vt:lpstr>
      <vt:lpstr>'170-Open Space'!Print_Area</vt:lpstr>
      <vt:lpstr>'192-Public Buildings'!Print_Area</vt:lpstr>
      <vt:lpstr>'422-Highway'!Print_Area</vt:lpstr>
      <vt:lpstr>'423-Snow &amp; Ice'!Print_Area</vt:lpstr>
      <vt:lpstr>'433-Transfer Station'!Print_Area</vt:lpstr>
      <vt:lpstr>'491-Cemetery'!Print_Area</vt:lpstr>
      <vt:lpstr>'710-Debt Service'!Print_Area</vt:lpstr>
      <vt:lpstr>'ARTICLE 2'!Print_Area</vt:lpstr>
      <vt:lpstr>RECAP!Print_Area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Blanchard</dc:creator>
  <cp:lastModifiedBy>Veronique Blanchard</cp:lastModifiedBy>
  <cp:lastPrinted>2023-05-18T15:48:28Z</cp:lastPrinted>
  <dcterms:created xsi:type="dcterms:W3CDTF">2021-11-15T20:35:29Z</dcterms:created>
  <dcterms:modified xsi:type="dcterms:W3CDTF">2023-05-18T15:58:12Z</dcterms:modified>
</cp:coreProperties>
</file>